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dtor\AppData\Local\Microsoft\Windows\INetCache\Content.Outlook\L74BN5H7\"/>
    </mc:Choice>
  </mc:AlternateContent>
  <bookViews>
    <workbookView xWindow="480" yWindow="-345" windowWidth="15180" windowHeight="12660" activeTab="7"/>
  </bookViews>
  <sheets>
    <sheet name="Forside" sheetId="4" r:id="rId1"/>
    <sheet name=" Beskrivelse av forsøket" sheetId="5" r:id="rId2"/>
    <sheet name="hiddenSheet" sheetId="7" state="hidden" r:id="rId3"/>
    <sheet name="Gel ROM" sheetId="1" r:id="rId4"/>
    <sheet name="Fraskilt ROM" sheetId="9" r:id="rId5"/>
    <sheet name="Gel KJØL" sheetId="8" r:id="rId6"/>
    <sheet name="Fraskilt KJØL" sheetId="10" r:id="rId7"/>
    <sheet name="Konklusjon" sheetId="6" r:id="rId8"/>
    <sheet name="Ark2" sheetId="2" state="hidden" r:id="rId9"/>
  </sheets>
  <definedNames>
    <definedName name="beskyttet" localSheetId="2">hiddenSheet!$A$13</definedName>
    <definedName name="docver" localSheetId="2">hiddenSheet!$A$14</definedName>
    <definedName name="ek_dbfields" localSheetId="2">hiddenSheet!$A$5</definedName>
    <definedName name="ek_doktittel" localSheetId="2">hiddenSheet!$B$5</definedName>
    <definedName name="ek_dokumentid" localSheetId="2">hiddenSheet!$B$1</definedName>
    <definedName name="ek_endrfields" localSheetId="2">hiddenSheet!$A$6</definedName>
    <definedName name="ek_format" localSheetId="2">hiddenSheet!$A$1</definedName>
    <definedName name="ek_type" localSheetId="2">hiddenSheet!$A$3</definedName>
    <definedName name="ek_utgave" localSheetId="2">hiddenSheet!$B$3</definedName>
    <definedName name="ekr_doktittel" localSheetId="2">hiddenSheet!$B$2</definedName>
    <definedName name="ekr_hørt" localSheetId="2">hiddenSheet!$B$7</definedName>
    <definedName name="ekr_utgitt" localSheetId="2">hiddenSheet!$B$6</definedName>
    <definedName name="ekr_verifisert" localSheetId="2">hiddenSheet!$B$4</definedName>
    <definedName name="khb" localSheetId="2">hiddenSheet!$A$4</definedName>
    <definedName name="lagre" localSheetId="2">hiddenSheet!$A$2</definedName>
    <definedName name="nyidxd" localSheetId="2">hiddenSheet!$A$10</definedName>
    <definedName name="nyidxr" localSheetId="2">hiddenSheet!$A$11</definedName>
    <definedName name="skitten" localSheetId="2">hiddenSheet!$A$12</definedName>
    <definedName name="tidek_eksref" localSheetId="2">hiddenSheet!$A$9</definedName>
    <definedName name="tidek_referanse" localSheetId="2">hiddenSheet!$A$7</definedName>
    <definedName name="tidek_vedlegg" localSheetId="2">hiddenSheet!$A$8</definedName>
  </definedNames>
  <calcPr calcId="162913"/>
</workbook>
</file>

<file path=xl/calcChain.xml><?xml version="1.0" encoding="utf-8"?>
<calcChain xmlns="http://schemas.openxmlformats.org/spreadsheetml/2006/main">
  <c r="F55" i="6" l="1"/>
  <c r="E21" i="10" l="1"/>
  <c r="D21" i="10"/>
  <c r="C21" i="10"/>
  <c r="B21" i="10"/>
  <c r="E21" i="8"/>
  <c r="D21" i="8"/>
  <c r="C21" i="8"/>
  <c r="B13" i="9" l="1"/>
  <c r="C13" i="9"/>
  <c r="D13" i="9"/>
  <c r="E13" i="9"/>
  <c r="B13" i="1"/>
  <c r="C13" i="1"/>
  <c r="D13" i="1"/>
  <c r="E13" i="1"/>
  <c r="E19" i="10" l="1"/>
  <c r="D19" i="10"/>
  <c r="C19" i="10"/>
  <c r="E18" i="10"/>
  <c r="D18" i="10"/>
  <c r="C18" i="10"/>
  <c r="E19" i="8"/>
  <c r="D19" i="8"/>
  <c r="C19" i="8"/>
  <c r="E18" i="8"/>
  <c r="D18" i="8"/>
  <c r="C18" i="8"/>
  <c r="E19" i="9"/>
  <c r="D19" i="9"/>
  <c r="C19" i="9"/>
  <c r="E18" i="9"/>
  <c r="D18" i="9"/>
  <c r="C18" i="9"/>
  <c r="B19" i="10"/>
  <c r="B18" i="10"/>
  <c r="B19" i="8"/>
  <c r="B18" i="8"/>
  <c r="B19" i="9"/>
  <c r="B18" i="9"/>
  <c r="E19" i="1"/>
  <c r="D19" i="1"/>
  <c r="C19" i="1"/>
  <c r="B19" i="1"/>
  <c r="E18" i="1"/>
  <c r="D18" i="1"/>
  <c r="C18" i="1"/>
  <c r="B18" i="1"/>
  <c r="E17" i="10" l="1"/>
  <c r="D17" i="10"/>
  <c r="C17" i="10"/>
  <c r="E16" i="10"/>
  <c r="D16" i="10"/>
  <c r="C16" i="10"/>
  <c r="E17" i="8"/>
  <c r="D17" i="8"/>
  <c r="C17" i="8"/>
  <c r="E16" i="8"/>
  <c r="D16" i="8"/>
  <c r="C16" i="8"/>
  <c r="B17" i="10"/>
  <c r="B16" i="10"/>
  <c r="B17" i="8"/>
  <c r="B16" i="8"/>
  <c r="E17" i="9"/>
  <c r="D17" i="9"/>
  <c r="C17" i="9"/>
  <c r="E16" i="9"/>
  <c r="D16" i="9"/>
  <c r="C16" i="9"/>
  <c r="B17" i="9"/>
  <c r="B16" i="9"/>
  <c r="E17" i="1"/>
  <c r="D17" i="1"/>
  <c r="C17" i="1"/>
  <c r="B17" i="1"/>
  <c r="E16" i="1"/>
  <c r="D16" i="1"/>
  <c r="C16" i="1"/>
  <c r="B16" i="1"/>
  <c r="E15" i="1" l="1"/>
  <c r="D15" i="1"/>
  <c r="C15" i="1"/>
  <c r="B15" i="1"/>
  <c r="E14" i="1"/>
  <c r="D14" i="1"/>
  <c r="C14" i="1"/>
  <c r="B14" i="1"/>
  <c r="E12" i="1"/>
  <c r="D12" i="1"/>
  <c r="C12" i="1"/>
  <c r="B12" i="1"/>
  <c r="E15" i="9"/>
  <c r="D15" i="9"/>
  <c r="C15" i="9"/>
  <c r="B15" i="9"/>
  <c r="E14" i="9"/>
  <c r="D14" i="9"/>
  <c r="C14" i="9"/>
  <c r="B14" i="9"/>
  <c r="E12" i="9"/>
  <c r="D12" i="9"/>
  <c r="C12" i="9"/>
  <c r="B12" i="9"/>
  <c r="J127" i="10" l="1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J77" i="10"/>
  <c r="I77" i="10"/>
  <c r="H77" i="10"/>
  <c r="G77" i="10"/>
  <c r="J76" i="10"/>
  <c r="I76" i="10"/>
  <c r="H76" i="10"/>
  <c r="G76" i="10"/>
  <c r="F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B2" i="10"/>
  <c r="F1" i="10"/>
  <c r="D1" i="10"/>
  <c r="B1" i="10"/>
  <c r="J127" i="9"/>
  <c r="I127" i="9"/>
  <c r="H127" i="9"/>
  <c r="G127" i="9"/>
  <c r="F127" i="9"/>
  <c r="E127" i="9"/>
  <c r="D127" i="9"/>
  <c r="C127" i="9"/>
  <c r="B127" i="9"/>
  <c r="J126" i="9"/>
  <c r="I126" i="9"/>
  <c r="H126" i="9"/>
  <c r="G126" i="9"/>
  <c r="F126" i="9"/>
  <c r="E126" i="9"/>
  <c r="D126" i="9"/>
  <c r="C126" i="9"/>
  <c r="B126" i="9"/>
  <c r="J125" i="9"/>
  <c r="I125" i="9"/>
  <c r="H125" i="9"/>
  <c r="G125" i="9"/>
  <c r="F125" i="9"/>
  <c r="E125" i="9"/>
  <c r="D125" i="9"/>
  <c r="C125" i="9"/>
  <c r="B125" i="9"/>
  <c r="J124" i="9"/>
  <c r="I124" i="9"/>
  <c r="H124" i="9"/>
  <c r="G124" i="9"/>
  <c r="F124" i="9"/>
  <c r="E124" i="9"/>
  <c r="D124" i="9"/>
  <c r="C124" i="9"/>
  <c r="B124" i="9"/>
  <c r="J115" i="9"/>
  <c r="I115" i="9"/>
  <c r="H115" i="9"/>
  <c r="G115" i="9"/>
  <c r="F115" i="9"/>
  <c r="E115" i="9"/>
  <c r="D115" i="9"/>
  <c r="C115" i="9"/>
  <c r="B115" i="9"/>
  <c r="J114" i="9"/>
  <c r="I114" i="9"/>
  <c r="H114" i="9"/>
  <c r="G114" i="9"/>
  <c r="F114" i="9"/>
  <c r="E114" i="9"/>
  <c r="D114" i="9"/>
  <c r="C114" i="9"/>
  <c r="B114" i="9"/>
  <c r="J113" i="9"/>
  <c r="I113" i="9"/>
  <c r="H113" i="9"/>
  <c r="G113" i="9"/>
  <c r="F113" i="9"/>
  <c r="E113" i="9"/>
  <c r="D113" i="9"/>
  <c r="C113" i="9"/>
  <c r="B113" i="9"/>
  <c r="J112" i="9"/>
  <c r="I112" i="9"/>
  <c r="H112" i="9"/>
  <c r="G112" i="9"/>
  <c r="F112" i="9"/>
  <c r="E112" i="9"/>
  <c r="D112" i="9"/>
  <c r="C112" i="9"/>
  <c r="B112" i="9"/>
  <c r="J111" i="9"/>
  <c r="I111" i="9"/>
  <c r="H111" i="9"/>
  <c r="G111" i="9"/>
  <c r="F111" i="9"/>
  <c r="E111" i="9"/>
  <c r="D111" i="9"/>
  <c r="C111" i="9"/>
  <c r="B111" i="9"/>
  <c r="J110" i="9"/>
  <c r="I110" i="9"/>
  <c r="H110" i="9"/>
  <c r="G110" i="9"/>
  <c r="F110" i="9"/>
  <c r="E110" i="9"/>
  <c r="D110" i="9"/>
  <c r="C110" i="9"/>
  <c r="B110" i="9"/>
  <c r="J109" i="9"/>
  <c r="I109" i="9"/>
  <c r="H109" i="9"/>
  <c r="G109" i="9"/>
  <c r="F109" i="9"/>
  <c r="E109" i="9"/>
  <c r="D109" i="9"/>
  <c r="C109" i="9"/>
  <c r="B109" i="9"/>
  <c r="J108" i="9"/>
  <c r="I108" i="9"/>
  <c r="H108" i="9"/>
  <c r="G108" i="9"/>
  <c r="F108" i="9"/>
  <c r="E108" i="9"/>
  <c r="D108" i="9"/>
  <c r="C108" i="9"/>
  <c r="B108" i="9"/>
  <c r="J107" i="9"/>
  <c r="I107" i="9"/>
  <c r="H107" i="9"/>
  <c r="G107" i="9"/>
  <c r="F107" i="9"/>
  <c r="E107" i="9"/>
  <c r="D107" i="9"/>
  <c r="C107" i="9"/>
  <c r="B107" i="9"/>
  <c r="J106" i="9"/>
  <c r="I106" i="9"/>
  <c r="H106" i="9"/>
  <c r="G106" i="9"/>
  <c r="F106" i="9"/>
  <c r="E106" i="9"/>
  <c r="D106" i="9"/>
  <c r="C106" i="9"/>
  <c r="B106" i="9"/>
  <c r="J105" i="9"/>
  <c r="I105" i="9"/>
  <c r="H105" i="9"/>
  <c r="G105" i="9"/>
  <c r="F105" i="9"/>
  <c r="E105" i="9"/>
  <c r="D105" i="9"/>
  <c r="C105" i="9"/>
  <c r="B105" i="9"/>
  <c r="J104" i="9"/>
  <c r="I104" i="9"/>
  <c r="H104" i="9"/>
  <c r="G104" i="9"/>
  <c r="F104" i="9"/>
  <c r="E104" i="9"/>
  <c r="D104" i="9"/>
  <c r="C104" i="9"/>
  <c r="B104" i="9"/>
  <c r="J103" i="9"/>
  <c r="I103" i="9"/>
  <c r="H103" i="9"/>
  <c r="G103" i="9"/>
  <c r="F103" i="9"/>
  <c r="E103" i="9"/>
  <c r="D103" i="9"/>
  <c r="C103" i="9"/>
  <c r="B103" i="9"/>
  <c r="J102" i="9"/>
  <c r="I102" i="9"/>
  <c r="H102" i="9"/>
  <c r="G102" i="9"/>
  <c r="F102" i="9"/>
  <c r="E102" i="9"/>
  <c r="D102" i="9"/>
  <c r="C102" i="9"/>
  <c r="B102" i="9"/>
  <c r="J101" i="9"/>
  <c r="I101" i="9"/>
  <c r="H101" i="9"/>
  <c r="G101" i="9"/>
  <c r="F101" i="9"/>
  <c r="E101" i="9"/>
  <c r="D101" i="9"/>
  <c r="C101" i="9"/>
  <c r="B101" i="9"/>
  <c r="J100" i="9"/>
  <c r="I100" i="9"/>
  <c r="H100" i="9"/>
  <c r="G100" i="9"/>
  <c r="F100" i="9"/>
  <c r="E100" i="9"/>
  <c r="D100" i="9"/>
  <c r="C100" i="9"/>
  <c r="B100" i="9"/>
  <c r="J99" i="9"/>
  <c r="I99" i="9"/>
  <c r="H99" i="9"/>
  <c r="G99" i="9"/>
  <c r="F99" i="9"/>
  <c r="E99" i="9"/>
  <c r="D99" i="9"/>
  <c r="C99" i="9"/>
  <c r="B99" i="9"/>
  <c r="J98" i="9"/>
  <c r="I98" i="9"/>
  <c r="H98" i="9"/>
  <c r="G98" i="9"/>
  <c r="F98" i="9"/>
  <c r="E98" i="9"/>
  <c r="D98" i="9"/>
  <c r="C98" i="9"/>
  <c r="B98" i="9"/>
  <c r="J97" i="9"/>
  <c r="I97" i="9"/>
  <c r="H97" i="9"/>
  <c r="G97" i="9"/>
  <c r="F97" i="9"/>
  <c r="E97" i="9"/>
  <c r="D97" i="9"/>
  <c r="C97" i="9"/>
  <c r="B97" i="9"/>
  <c r="J96" i="9"/>
  <c r="I96" i="9"/>
  <c r="H96" i="9"/>
  <c r="G96" i="9"/>
  <c r="F96" i="9"/>
  <c r="E96" i="9"/>
  <c r="D96" i="9"/>
  <c r="C96" i="9"/>
  <c r="B96" i="9"/>
  <c r="J95" i="9"/>
  <c r="I95" i="9"/>
  <c r="H95" i="9"/>
  <c r="G95" i="9"/>
  <c r="F95" i="9"/>
  <c r="E95" i="9"/>
  <c r="D95" i="9"/>
  <c r="C95" i="9"/>
  <c r="B95" i="9"/>
  <c r="J94" i="9"/>
  <c r="I94" i="9"/>
  <c r="H94" i="9"/>
  <c r="G94" i="9"/>
  <c r="F94" i="9"/>
  <c r="E94" i="9"/>
  <c r="D94" i="9"/>
  <c r="C94" i="9"/>
  <c r="B94" i="9"/>
  <c r="J93" i="9"/>
  <c r="I93" i="9"/>
  <c r="H93" i="9"/>
  <c r="G93" i="9"/>
  <c r="F93" i="9"/>
  <c r="E93" i="9"/>
  <c r="D93" i="9"/>
  <c r="C93" i="9"/>
  <c r="B93" i="9"/>
  <c r="J92" i="9"/>
  <c r="I92" i="9"/>
  <c r="H92" i="9"/>
  <c r="G92" i="9"/>
  <c r="F92" i="9"/>
  <c r="E92" i="9"/>
  <c r="D92" i="9"/>
  <c r="C92" i="9"/>
  <c r="B92" i="9"/>
  <c r="J91" i="9"/>
  <c r="I91" i="9"/>
  <c r="H91" i="9"/>
  <c r="G91" i="9"/>
  <c r="F91" i="9"/>
  <c r="E91" i="9"/>
  <c r="D91" i="9"/>
  <c r="C91" i="9"/>
  <c r="B91" i="9"/>
  <c r="J90" i="9"/>
  <c r="I90" i="9"/>
  <c r="H90" i="9"/>
  <c r="G90" i="9"/>
  <c r="F90" i="9"/>
  <c r="E90" i="9"/>
  <c r="D90" i="9"/>
  <c r="C90" i="9"/>
  <c r="B90" i="9"/>
  <c r="J89" i="9"/>
  <c r="I89" i="9"/>
  <c r="H89" i="9"/>
  <c r="G89" i="9"/>
  <c r="F89" i="9"/>
  <c r="E89" i="9"/>
  <c r="D89" i="9"/>
  <c r="C89" i="9"/>
  <c r="B89" i="9"/>
  <c r="J88" i="9"/>
  <c r="I88" i="9"/>
  <c r="H88" i="9"/>
  <c r="G88" i="9"/>
  <c r="F88" i="9"/>
  <c r="E88" i="9"/>
  <c r="D88" i="9"/>
  <c r="C88" i="9"/>
  <c r="B88" i="9"/>
  <c r="J87" i="9"/>
  <c r="I87" i="9"/>
  <c r="H87" i="9"/>
  <c r="G87" i="9"/>
  <c r="F87" i="9"/>
  <c r="E87" i="9"/>
  <c r="D87" i="9"/>
  <c r="C87" i="9"/>
  <c r="B87" i="9"/>
  <c r="J86" i="9"/>
  <c r="I86" i="9"/>
  <c r="H86" i="9"/>
  <c r="G86" i="9"/>
  <c r="F86" i="9"/>
  <c r="E86" i="9"/>
  <c r="D86" i="9"/>
  <c r="C86" i="9"/>
  <c r="B86" i="9"/>
  <c r="J85" i="9"/>
  <c r="I85" i="9"/>
  <c r="H85" i="9"/>
  <c r="G85" i="9"/>
  <c r="F85" i="9"/>
  <c r="E85" i="9"/>
  <c r="D85" i="9"/>
  <c r="C85" i="9"/>
  <c r="B85" i="9"/>
  <c r="J84" i="9"/>
  <c r="I84" i="9"/>
  <c r="H84" i="9"/>
  <c r="G84" i="9"/>
  <c r="F84" i="9"/>
  <c r="E84" i="9"/>
  <c r="D84" i="9"/>
  <c r="C84" i="9"/>
  <c r="B84" i="9"/>
  <c r="J83" i="9"/>
  <c r="I83" i="9"/>
  <c r="H83" i="9"/>
  <c r="G83" i="9"/>
  <c r="F83" i="9"/>
  <c r="E83" i="9"/>
  <c r="D83" i="9"/>
  <c r="C83" i="9"/>
  <c r="B83" i="9"/>
  <c r="J82" i="9"/>
  <c r="I82" i="9"/>
  <c r="H82" i="9"/>
  <c r="G82" i="9"/>
  <c r="F82" i="9"/>
  <c r="E82" i="9"/>
  <c r="D82" i="9"/>
  <c r="C82" i="9"/>
  <c r="B82" i="9"/>
  <c r="J81" i="9"/>
  <c r="I81" i="9"/>
  <c r="H81" i="9"/>
  <c r="G81" i="9"/>
  <c r="F81" i="9"/>
  <c r="E81" i="9"/>
  <c r="D81" i="9"/>
  <c r="C81" i="9"/>
  <c r="B81" i="9"/>
  <c r="J80" i="9"/>
  <c r="I80" i="9"/>
  <c r="H80" i="9"/>
  <c r="G80" i="9"/>
  <c r="F80" i="9"/>
  <c r="E80" i="9"/>
  <c r="D80" i="9"/>
  <c r="C80" i="9"/>
  <c r="B80" i="9"/>
  <c r="J79" i="9"/>
  <c r="I79" i="9"/>
  <c r="H79" i="9"/>
  <c r="G79" i="9"/>
  <c r="F79" i="9"/>
  <c r="E79" i="9"/>
  <c r="D79" i="9"/>
  <c r="C79" i="9"/>
  <c r="B79" i="9"/>
  <c r="J78" i="9"/>
  <c r="I78" i="9"/>
  <c r="H78" i="9"/>
  <c r="G78" i="9"/>
  <c r="F78" i="9"/>
  <c r="J77" i="9"/>
  <c r="I77" i="9"/>
  <c r="H77" i="9"/>
  <c r="G77" i="9"/>
  <c r="J76" i="9"/>
  <c r="I76" i="9"/>
  <c r="H76" i="9"/>
  <c r="G76" i="9"/>
  <c r="J75" i="9"/>
  <c r="I75" i="9"/>
  <c r="H75" i="9"/>
  <c r="G75" i="9"/>
  <c r="F75" i="9"/>
  <c r="E75" i="9"/>
  <c r="D75" i="9"/>
  <c r="C75" i="9"/>
  <c r="B75" i="9"/>
  <c r="J74" i="9"/>
  <c r="I74" i="9"/>
  <c r="H74" i="9"/>
  <c r="G74" i="9"/>
  <c r="F74" i="9"/>
  <c r="E74" i="9"/>
  <c r="D74" i="9"/>
  <c r="C74" i="9"/>
  <c r="B74" i="9"/>
  <c r="J73" i="9"/>
  <c r="I73" i="9"/>
  <c r="H73" i="9"/>
  <c r="G73" i="9"/>
  <c r="F73" i="9"/>
  <c r="E73" i="9"/>
  <c r="D73" i="9"/>
  <c r="C73" i="9"/>
  <c r="B73" i="9"/>
  <c r="J72" i="9"/>
  <c r="I72" i="9"/>
  <c r="H72" i="9"/>
  <c r="G72" i="9"/>
  <c r="F72" i="9"/>
  <c r="E72" i="9"/>
  <c r="D72" i="9"/>
  <c r="C72" i="9"/>
  <c r="B72" i="9"/>
  <c r="J71" i="9"/>
  <c r="I71" i="9"/>
  <c r="H71" i="9"/>
  <c r="G71" i="9"/>
  <c r="F71" i="9"/>
  <c r="E71" i="9"/>
  <c r="D71" i="9"/>
  <c r="C71" i="9"/>
  <c r="B71" i="9"/>
  <c r="J70" i="9"/>
  <c r="I70" i="9"/>
  <c r="H70" i="9"/>
  <c r="G70" i="9"/>
  <c r="F70" i="9"/>
  <c r="E70" i="9"/>
  <c r="D70" i="9"/>
  <c r="C70" i="9"/>
  <c r="B70" i="9"/>
  <c r="J69" i="9"/>
  <c r="I69" i="9"/>
  <c r="H69" i="9"/>
  <c r="G69" i="9"/>
  <c r="F69" i="9"/>
  <c r="J68" i="9"/>
  <c r="I68" i="9"/>
  <c r="H68" i="9"/>
  <c r="G68" i="9"/>
  <c r="F68" i="9"/>
  <c r="E68" i="9"/>
  <c r="D68" i="9"/>
  <c r="C68" i="9"/>
  <c r="B68" i="9"/>
  <c r="J67" i="9"/>
  <c r="I67" i="9"/>
  <c r="H67" i="9"/>
  <c r="G67" i="9"/>
  <c r="F67" i="9"/>
  <c r="E67" i="9"/>
  <c r="D67" i="9"/>
  <c r="C67" i="9"/>
  <c r="B67" i="9"/>
  <c r="J66" i="9"/>
  <c r="I66" i="9"/>
  <c r="H66" i="9"/>
  <c r="G66" i="9"/>
  <c r="F66" i="9"/>
  <c r="E66" i="9"/>
  <c r="D66" i="9"/>
  <c r="C66" i="9"/>
  <c r="B66" i="9"/>
  <c r="B2" i="9"/>
  <c r="F1" i="9"/>
  <c r="D1" i="9"/>
  <c r="B1" i="9"/>
  <c r="F117" i="9" l="1"/>
  <c r="F120" i="9" s="1"/>
  <c r="J117" i="10"/>
  <c r="J122" i="10" s="1"/>
  <c r="B117" i="10"/>
  <c r="B123" i="10" s="1"/>
  <c r="F117" i="10"/>
  <c r="F116" i="10" s="1"/>
  <c r="G117" i="9"/>
  <c r="G120" i="9" s="1"/>
  <c r="J117" i="9"/>
  <c r="J120" i="9" s="1"/>
  <c r="B117" i="9"/>
  <c r="B120" i="9" s="1"/>
  <c r="D117" i="10"/>
  <c r="H117" i="10"/>
  <c r="H116" i="10" s="1"/>
  <c r="E117" i="10"/>
  <c r="E116" i="10" s="1"/>
  <c r="I117" i="10"/>
  <c r="I123" i="10" s="1"/>
  <c r="C117" i="10"/>
  <c r="G117" i="10"/>
  <c r="G120" i="10" s="1"/>
  <c r="C117" i="9"/>
  <c r="C116" i="9" s="1"/>
  <c r="E117" i="9"/>
  <c r="E123" i="9" s="1"/>
  <c r="I117" i="9"/>
  <c r="I119" i="9" s="1"/>
  <c r="D117" i="9"/>
  <c r="D116" i="9" s="1"/>
  <c r="H117" i="9"/>
  <c r="H123" i="9" s="1"/>
  <c r="J123" i="10"/>
  <c r="J119" i="10"/>
  <c r="J118" i="10"/>
  <c r="J121" i="10"/>
  <c r="J120" i="10"/>
  <c r="F122" i="9"/>
  <c r="F118" i="9"/>
  <c r="F121" i="9"/>
  <c r="F116" i="9"/>
  <c r="F123" i="9"/>
  <c r="J118" i="9"/>
  <c r="G121" i="9"/>
  <c r="G118" i="9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J77" i="8"/>
  <c r="I77" i="8"/>
  <c r="H77" i="8"/>
  <c r="G77" i="8"/>
  <c r="J76" i="8"/>
  <c r="I76" i="8"/>
  <c r="H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B2" i="8"/>
  <c r="F1" i="8"/>
  <c r="D1" i="8"/>
  <c r="B1" i="8"/>
  <c r="J116" i="10" l="1"/>
  <c r="F119" i="9"/>
  <c r="J122" i="9"/>
  <c r="F118" i="10"/>
  <c r="G122" i="9"/>
  <c r="G116" i="9"/>
  <c r="G119" i="9"/>
  <c r="G123" i="9"/>
  <c r="F122" i="10"/>
  <c r="F121" i="10"/>
  <c r="F120" i="10"/>
  <c r="B122" i="9"/>
  <c r="F119" i="10"/>
  <c r="B116" i="10"/>
  <c r="B120" i="10"/>
  <c r="B118" i="10"/>
  <c r="B119" i="10" s="1"/>
  <c r="B122" i="10"/>
  <c r="B123" i="9"/>
  <c r="B116" i="9"/>
  <c r="B118" i="9"/>
  <c r="B119" i="9" s="1"/>
  <c r="B121" i="9" s="1"/>
  <c r="J119" i="9"/>
  <c r="J123" i="9"/>
  <c r="J116" i="9"/>
  <c r="J121" i="9"/>
  <c r="H119" i="9"/>
  <c r="F123" i="10"/>
  <c r="H120" i="10"/>
  <c r="B117" i="8"/>
  <c r="B122" i="8" s="1"/>
  <c r="G116" i="10"/>
  <c r="G121" i="10"/>
  <c r="G118" i="10"/>
  <c r="E122" i="10"/>
  <c r="C116" i="10"/>
  <c r="C122" i="10"/>
  <c r="C118" i="9"/>
  <c r="C119" i="9" s="1"/>
  <c r="C122" i="9"/>
  <c r="C120" i="9"/>
  <c r="C121" i="9" s="1"/>
  <c r="I116" i="10"/>
  <c r="E123" i="10"/>
  <c r="E120" i="10"/>
  <c r="H118" i="10"/>
  <c r="G119" i="10"/>
  <c r="H122" i="10"/>
  <c r="F117" i="8"/>
  <c r="F122" i="8" s="1"/>
  <c r="J117" i="8"/>
  <c r="J119" i="8" s="1"/>
  <c r="I116" i="9"/>
  <c r="I118" i="9"/>
  <c r="I121" i="9"/>
  <c r="I123" i="9"/>
  <c r="D118" i="10"/>
  <c r="D119" i="10" s="1"/>
  <c r="D123" i="10"/>
  <c r="D116" i="10"/>
  <c r="C123" i="10"/>
  <c r="C118" i="10"/>
  <c r="C119" i="10" s="1"/>
  <c r="C120" i="10"/>
  <c r="C121" i="10" s="1"/>
  <c r="G123" i="10"/>
  <c r="G122" i="10"/>
  <c r="H123" i="10"/>
  <c r="H121" i="10"/>
  <c r="D120" i="10"/>
  <c r="D121" i="10" s="1"/>
  <c r="I118" i="10"/>
  <c r="H119" i="10"/>
  <c r="D122" i="10"/>
  <c r="I122" i="10"/>
  <c r="I121" i="10"/>
  <c r="I119" i="10"/>
  <c r="I120" i="10"/>
  <c r="E118" i="10"/>
  <c r="E119" i="10" s="1"/>
  <c r="E117" i="8"/>
  <c r="E122" i="8" s="1"/>
  <c r="I117" i="8"/>
  <c r="I119" i="8" s="1"/>
  <c r="C117" i="8"/>
  <c r="C120" i="8" s="1"/>
  <c r="G117" i="8"/>
  <c r="G122" i="8" s="1"/>
  <c r="D117" i="8"/>
  <c r="D122" i="8" s="1"/>
  <c r="H117" i="8"/>
  <c r="H120" i="8" s="1"/>
  <c r="E122" i="9"/>
  <c r="D118" i="9"/>
  <c r="D119" i="9" s="1"/>
  <c r="D123" i="9"/>
  <c r="C123" i="9"/>
  <c r="H118" i="9"/>
  <c r="H121" i="9"/>
  <c r="H116" i="9"/>
  <c r="D122" i="9"/>
  <c r="H122" i="9"/>
  <c r="H120" i="9"/>
  <c r="D120" i="9"/>
  <c r="D121" i="9" s="1"/>
  <c r="I122" i="9"/>
  <c r="E116" i="9"/>
  <c r="E120" i="9"/>
  <c r="E121" i="9" s="1"/>
  <c r="I120" i="9"/>
  <c r="E118" i="9"/>
  <c r="E119" i="9" s="1"/>
  <c r="B2" i="6"/>
  <c r="F1" i="6"/>
  <c r="D1" i="6"/>
  <c r="B1" i="6"/>
  <c r="B2" i="1"/>
  <c r="F1" i="1"/>
  <c r="D1" i="1"/>
  <c r="B1" i="1"/>
  <c r="B2" i="5"/>
  <c r="F1" i="5"/>
  <c r="D1" i="5"/>
  <c r="B1" i="5"/>
  <c r="B2" i="4"/>
  <c r="E121" i="10" l="1"/>
  <c r="B121" i="10"/>
  <c r="J118" i="8"/>
  <c r="J122" i="8"/>
  <c r="F119" i="8"/>
  <c r="F116" i="8"/>
  <c r="F123" i="8"/>
  <c r="B123" i="8"/>
  <c r="B116" i="8"/>
  <c r="B120" i="8"/>
  <c r="B118" i="8"/>
  <c r="B119" i="8" s="1"/>
  <c r="I120" i="8"/>
  <c r="J121" i="8"/>
  <c r="I116" i="8"/>
  <c r="G118" i="8"/>
  <c r="I123" i="8"/>
  <c r="F120" i="8"/>
  <c r="G121" i="8"/>
  <c r="F121" i="8"/>
  <c r="I122" i="8"/>
  <c r="J123" i="8"/>
  <c r="F118" i="8"/>
  <c r="J116" i="8"/>
  <c r="J120" i="8"/>
  <c r="I121" i="8"/>
  <c r="I118" i="8"/>
  <c r="E118" i="8"/>
  <c r="E119" i="8" s="1"/>
  <c r="E123" i="8"/>
  <c r="C118" i="8"/>
  <c r="C119" i="8" s="1"/>
  <c r="C121" i="8" s="1"/>
  <c r="C122" i="8"/>
  <c r="E116" i="8"/>
  <c r="C116" i="8"/>
  <c r="G119" i="8"/>
  <c r="G120" i="8"/>
  <c r="C123" i="8"/>
  <c r="E120" i="8"/>
  <c r="E121" i="8" s="1"/>
  <c r="G116" i="8"/>
  <c r="G123" i="8"/>
  <c r="D123" i="8"/>
  <c r="D116" i="8"/>
  <c r="D118" i="8"/>
  <c r="D119" i="8" s="1"/>
  <c r="D120" i="8"/>
  <c r="H119" i="8"/>
  <c r="H116" i="8"/>
  <c r="H118" i="8"/>
  <c r="H121" i="8"/>
  <c r="H123" i="8"/>
  <c r="H122" i="8"/>
  <c r="F1" i="4"/>
  <c r="D1" i="4"/>
  <c r="B1" i="4"/>
  <c r="D121" i="8" l="1"/>
  <c r="B121" i="8"/>
  <c r="J127" i="1"/>
  <c r="I127" i="1"/>
  <c r="J126" i="1"/>
  <c r="I126" i="1"/>
  <c r="J125" i="1"/>
  <c r="I125" i="1"/>
  <c r="J124" i="1"/>
  <c r="I124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G66" i="1"/>
  <c r="G67" i="1"/>
  <c r="G68" i="1"/>
  <c r="G69" i="1"/>
  <c r="G70" i="1"/>
  <c r="G71" i="1"/>
  <c r="G72" i="1"/>
  <c r="G73" i="1"/>
  <c r="G74" i="1"/>
  <c r="G75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F66" i="1"/>
  <c r="F67" i="1"/>
  <c r="F68" i="1"/>
  <c r="F70" i="1"/>
  <c r="F71" i="1"/>
  <c r="F72" i="1"/>
  <c r="F73" i="1"/>
  <c r="F74" i="1"/>
  <c r="F75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E66" i="1"/>
  <c r="E67" i="1"/>
  <c r="E68" i="1"/>
  <c r="E70" i="1"/>
  <c r="E71" i="1"/>
  <c r="E72" i="1"/>
  <c r="E73" i="1"/>
  <c r="E74" i="1"/>
  <c r="E75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D66" i="1"/>
  <c r="D67" i="1"/>
  <c r="D68" i="1"/>
  <c r="D70" i="1"/>
  <c r="D71" i="1"/>
  <c r="D72" i="1"/>
  <c r="D73" i="1"/>
  <c r="D74" i="1"/>
  <c r="D75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6" i="1"/>
  <c r="C67" i="1"/>
  <c r="C68" i="1"/>
  <c r="C70" i="1"/>
  <c r="C71" i="1"/>
  <c r="C72" i="1"/>
  <c r="C73" i="1"/>
  <c r="C74" i="1"/>
  <c r="C75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B66" i="1"/>
  <c r="B67" i="1"/>
  <c r="B68" i="1"/>
  <c r="B70" i="1"/>
  <c r="B71" i="1"/>
  <c r="B72" i="1"/>
  <c r="B73" i="1"/>
  <c r="B74" i="1"/>
  <c r="B75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H127" i="1"/>
  <c r="G127" i="1"/>
  <c r="F127" i="1"/>
  <c r="E127" i="1"/>
  <c r="H126" i="1"/>
  <c r="G126" i="1"/>
  <c r="F126" i="1"/>
  <c r="E126" i="1"/>
  <c r="D127" i="1"/>
  <c r="D126" i="1"/>
  <c r="C127" i="1"/>
  <c r="C126" i="1"/>
  <c r="B127" i="1"/>
  <c r="B126" i="1"/>
  <c r="H124" i="1"/>
  <c r="G124" i="1"/>
  <c r="F124" i="1"/>
  <c r="E124" i="1"/>
  <c r="D124" i="1"/>
  <c r="C124" i="1"/>
  <c r="B124" i="1"/>
  <c r="H125" i="1"/>
  <c r="G125" i="1"/>
  <c r="F125" i="1"/>
  <c r="E125" i="1"/>
  <c r="D125" i="1"/>
  <c r="C125" i="1"/>
  <c r="B125" i="1"/>
  <c r="D117" i="1" l="1"/>
  <c r="D120" i="1" s="1"/>
  <c r="B117" i="1"/>
  <c r="B123" i="1" s="1"/>
  <c r="F117" i="1"/>
  <c r="F123" i="1" s="1"/>
  <c r="H117" i="1"/>
  <c r="H118" i="1" s="1"/>
  <c r="H119" i="1" s="1"/>
  <c r="J117" i="1"/>
  <c r="J116" i="1" s="1"/>
  <c r="E117" i="1"/>
  <c r="E120" i="1" s="1"/>
  <c r="I117" i="1"/>
  <c r="I120" i="1" s="1"/>
  <c r="C117" i="1"/>
  <c r="C120" i="1" s="1"/>
  <c r="G117" i="1"/>
  <c r="G123" i="1" s="1"/>
  <c r="D116" i="1" l="1"/>
  <c r="B118" i="1"/>
  <c r="B119" i="1" s="1"/>
  <c r="D118" i="1"/>
  <c r="D119" i="1" s="1"/>
  <c r="D121" i="1" s="1"/>
  <c r="E123" i="1"/>
  <c r="J118" i="1"/>
  <c r="J123" i="1"/>
  <c r="G120" i="1"/>
  <c r="J122" i="1"/>
  <c r="G118" i="1"/>
  <c r="J120" i="1"/>
  <c r="G119" i="1"/>
  <c r="J119" i="1"/>
  <c r="J121" i="1"/>
  <c r="G116" i="1"/>
  <c r="D122" i="1"/>
  <c r="D123" i="1"/>
  <c r="B120" i="1"/>
  <c r="B121" i="1" s="1"/>
  <c r="G122" i="1"/>
  <c r="F116" i="1"/>
  <c r="B122" i="1"/>
  <c r="H122" i="1"/>
  <c r="C118" i="1"/>
  <c r="C119" i="1" s="1"/>
  <c r="C121" i="1" s="1"/>
  <c r="F118" i="1"/>
  <c r="H123" i="1"/>
  <c r="E118" i="1"/>
  <c r="E119" i="1" s="1"/>
  <c r="E121" i="1" s="1"/>
  <c r="F120" i="1"/>
  <c r="B116" i="1"/>
  <c r="I118" i="1"/>
  <c r="I119" i="1" s="1"/>
  <c r="I121" i="1" s="1"/>
  <c r="H120" i="1"/>
  <c r="H121" i="1" s="1"/>
  <c r="C122" i="1"/>
  <c r="F122" i="1"/>
  <c r="H116" i="1"/>
  <c r="C116" i="1"/>
  <c r="I116" i="1"/>
  <c r="F119" i="1"/>
  <c r="E122" i="1"/>
  <c r="I122" i="1"/>
  <c r="C123" i="1"/>
  <c r="I123" i="1"/>
  <c r="E116" i="1"/>
  <c r="F121" i="1" l="1"/>
  <c r="G121" i="1"/>
</calcChain>
</file>

<file path=xl/sharedStrings.xml><?xml version="1.0" encoding="utf-8"?>
<sst xmlns="http://schemas.openxmlformats.org/spreadsheetml/2006/main" count="337" uniqueCount="159">
  <si>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</si>
  <si>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</si>
  <si>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</si>
  <si>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</si>
  <si>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</si>
  <si>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</si>
  <si>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</si>
  <si>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</si>
  <si>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</si>
  <si>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</si>
  <si>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</si>
  <si>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</si>
  <si>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</si>
  <si>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</si>
  <si>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</si>
  <si>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</si>
  <si>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</si>
  <si>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</si>
  <si>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</si>
  <si>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</si>
  <si>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</si>
  <si>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</si>
  <si>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</si>
  <si>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</si>
  <si>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</si>
  <si>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</si>
  <si>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</si>
  <si>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</si>
  <si>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</si>
  <si>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</si>
  <si>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</si>
  <si>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</si>
  <si>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</si>
  <si>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</si>
  <si>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</si>
  <si>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</si>
  <si>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</si>
  <si>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</si>
  <si>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</si>
  <si>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</si>
  <si>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</si>
  <si>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</si>
  <si>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</si>
  <si>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</si>
  <si>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</si>
  <si>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</si>
  <si>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</si>
  <si>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</si>
  <si>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</si>
  <si>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</si>
  <si>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</si>
  <si>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</si>
  <si>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</si>
  <si>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</si>
  <si>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</si>
  <si>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</si>
  <si>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</si>
  <si>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</si>
  <si>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</si>
  <si>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</si>
  <si>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</si>
  <si>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</si>
  <si>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</si>
  <si>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</si>
  <si>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</si>
  <si>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</si>
  <si>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</si>
  <si>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</si>
  <si>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</si>
  <si>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</si>
  <si>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</si>
  <si>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</si>
  <si>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</si>
  <si>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</si>
  <si>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</si>
  <si>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</si>
  <si>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</si>
  <si>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</si>
  <si>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</si>
  <si>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lagre</t>
  </si>
  <si>
    <t>___</t>
  </si>
  <si>
    <t xml:space="preserve">Dokument ID: </t>
  </si>
  <si>
    <t>D54447</t>
  </si>
  <si>
    <t xml:space="preserve">Dokument tittel:  </t>
  </si>
  <si>
    <t xml:space="preserve">Versjon: </t>
  </si>
  <si>
    <t xml:space="preserve">Rapport lest og godkjent (elektronisk signatur): </t>
  </si>
  <si>
    <t xml:space="preserve">Mal: </t>
  </si>
  <si>
    <t xml:space="preserve">Utfylt dato: </t>
  </si>
  <si>
    <t>Hvilket reagens (lot) er benyttet?</t>
  </si>
  <si>
    <t>Prøverør type (lotnr.)</t>
  </si>
  <si>
    <t>Betingelse 6</t>
  </si>
  <si>
    <t>Betingelse 7</t>
  </si>
  <si>
    <t>Betingelse 8</t>
  </si>
  <si>
    <t>Retningslinjer for utførelse av holdbarhetsforsøk er angitt i HL - Holdbarhetsforsøk (D47301)</t>
  </si>
  <si>
    <t xml:space="preserve">Mal godkjent av: </t>
  </si>
  <si>
    <t xml:space="preserve">Kopi kontrollert og tatt i bruk (dato/alias): </t>
  </si>
  <si>
    <t>HL - Rapportmal Holdbarhetsforsøk</t>
  </si>
  <si>
    <t>Fordeling av arbeidsoppgaver</t>
  </si>
  <si>
    <t>Fremskaffet og gjennomgått dokumentasjon, litteratur</t>
  </si>
  <si>
    <t>Praktisk gjennomføring</t>
  </si>
  <si>
    <t>Statistiske beregninger</t>
  </si>
  <si>
    <t>Skrive prosedyrer</t>
  </si>
  <si>
    <t>Utarbeide rapport</t>
  </si>
  <si>
    <t xml:space="preserve">Dokumentasjon, litteratur: </t>
  </si>
  <si>
    <t>(pakningsvedlegg, artikler, osv)</t>
  </si>
  <si>
    <t>02.05.18 AIDTOR / KRAK</t>
  </si>
  <si>
    <t>1.00</t>
  </si>
  <si>
    <t>RES</t>
  </si>
  <si>
    <t>Holdbarhetsforsøk GADA</t>
  </si>
  <si>
    <t>20.08.2018</t>
  </si>
  <si>
    <t>GAD-antistoff (GADA)</t>
  </si>
  <si>
    <t>Serum</t>
  </si>
  <si>
    <t>Marte Grøsvik</t>
  </si>
  <si>
    <t>F:\Reagenser og forbruksvarer\Pakningsvedlegg\Benkeanalyser\GADAS\GAD Ab EIA 24.34.pdf</t>
  </si>
  <si>
    <t>Victor 2030</t>
  </si>
  <si>
    <t>x</t>
  </si>
  <si>
    <t>Ingen</t>
  </si>
  <si>
    <r>
      <t xml:space="preserve">-80 </t>
    </r>
    <r>
      <rPr>
        <sz val="12"/>
        <color theme="3" tint="-0.499984740745262"/>
        <rFont val="Calibri"/>
        <family val="2"/>
      </rPr>
      <t>°</t>
    </r>
    <r>
      <rPr>
        <sz val="12"/>
        <color theme="3" tint="-0.499984740745262"/>
        <rFont val="Arial"/>
        <family val="2"/>
      </rPr>
      <t>C</t>
    </r>
  </si>
  <si>
    <t>60-120</t>
  </si>
  <si>
    <t xml:space="preserve">3 dager </t>
  </si>
  <si>
    <t>0 dager</t>
  </si>
  <si>
    <t>5 dager</t>
  </si>
  <si>
    <t>7 dager</t>
  </si>
  <si>
    <t>Romtemperatur</t>
  </si>
  <si>
    <t>Romtemperatur/kjøl</t>
  </si>
  <si>
    <t>GAD-antistoff</t>
  </si>
  <si>
    <t>ELISA</t>
  </si>
  <si>
    <t>Hormonlaboratoriet, Haukeland Univeristetssjukehus</t>
  </si>
  <si>
    <t>Serum - BD Vacutainer (5 mL) - Lot 8093993 (Exp. 2019-10-31)</t>
  </si>
  <si>
    <t>Krav til bias og tillatt totalfeil:</t>
  </si>
  <si>
    <t>Glutamic Acid Decarboxylase (GAD) Autoantibody ELISA kit fra RSR (Lot: KGE309, KGE321A)</t>
  </si>
  <si>
    <t>07.11.18 - 17.01.19</t>
  </si>
  <si>
    <r>
      <rPr>
        <b/>
        <sz val="10"/>
        <rFont val="Arial"/>
        <family val="2"/>
      </rPr>
      <t>Utførelse</t>
    </r>
    <r>
      <rPr>
        <sz val="10"/>
        <rFont val="Arial"/>
        <family val="2"/>
      </rPr>
      <t>: Blodprøver ble samlet inn fra 21 polikliniske pasienter med kjent type 1 diabetes, som har hatt diagnosen i 10 år eller mindre.  Prøvematerialet ble samlet inn i perioden fra 22.08.18-24.10.18. Blodprøvene koagulerte i 60-120 min før sentrifugering. Testet analytt i serum oppbevart på gelrør i romteperatur og kjøleskap, i tillegg til avpipettert serum i romtemperatur og kjøleskap. Serum ble overført til nye rør og frosset ned ved - 80 °C når tidspunkt fra prøvetaking var oppnådd. Alle tidspunkt(betingelser) for en prøve ble analysert i samme analyseserie for å unngå dag-til-dag variasjon. Prøver ble tint og analysert i perioden: 07.11.18-17.01.19.</t>
    </r>
  </si>
  <si>
    <t>VURDERING AV FUNN:</t>
  </si>
  <si>
    <t>10 prøver er tatt med i beregningene. Prøve 4 er ekskludert fra beregningene da en mistenker at det er noe feil med nullprøven. Prøve 11 og 12 er vurdert i forhold til om de holder seg negative gjennom hele tidsperioden.</t>
  </si>
  <si>
    <t>Holdbarhet utført på gel og fraskilt serum (kjøl+rom)</t>
  </si>
  <si>
    <r>
      <rPr>
        <b/>
        <sz val="10"/>
        <rFont val="Arial"/>
        <family val="2"/>
      </rPr>
      <t>GEL KJØL</t>
    </r>
    <r>
      <rPr>
        <sz val="10"/>
        <rFont val="Arial"/>
        <family val="2"/>
      </rPr>
      <t>: Ingen enkeltprøver avviker mer enn tillatt totalfeil på ± 15 % etter 3 dager. 90 % konfidensintervall for gjennomsnittlig avvik fra 0-prøven ligger innenfor krav til bias på ± 10 %. 2 av 2 prøver er negative etter 3 dager (&lt;5 U/mL). Ingen enkeltprøver avviker mer enn tillatt totalfeil, og 90 % konfidensintervall er innenfor krav til bias etter 5 dager. 2 av 2 prøver er negative etter 5 dager. Ingen enkeltprøver avviker mer enn tillatt totalfeil, og 90 % konfidensintervall er innenfor krav til bias etter 7 dager. 2 av 2 prøver er negative etter 7 dager. En ser på plottet at verdien av GAD-antistoff ligger jevnt i løpet av tidsperioden på 7 dager.</t>
    </r>
  </si>
  <si>
    <r>
      <rPr>
        <b/>
        <sz val="10"/>
        <rFont val="Arial"/>
        <family val="2"/>
      </rPr>
      <t>FRASKILT KJØL:</t>
    </r>
    <r>
      <rPr>
        <sz val="10"/>
        <rFont val="Arial"/>
        <family val="2"/>
      </rPr>
      <t xml:space="preserve"> Ingen av enkeltprøvene avviker mer enn tillatt totalfeil på ± 15 % etter 3 dager. 90 % konfidensintervall for gjennomsnittlig avvik fra 0-prøven ligger innenfor krav til bias på ± 10 %. 2 av 2 prøver holder seg negative etter 3 dager (&lt;5 U/mL). Ingen enkeltprøver avviker mer enn tillatt totalfeil, og 90 % konfidensintervall er innenfor krav til bias etter 5 dager. 2 av 2 prøver er negative etter 5 dager. Ingen enkeltprøver avviker mer enn tillatt totalfeil, og 90 % konfidensintervall er innenfor krav til bias etter 7 dager. 2 av 2 prøver er negative etter 7 dager. En ser på plottet at verdien av GAD-antistoff ligger jevnt i løpet av tidsperioden på 7 dager.              </t>
    </r>
  </si>
  <si>
    <t>HOLDBARHET AV GAD-ANTISTOFF:</t>
  </si>
  <si>
    <t xml:space="preserve">Romtemperatur: </t>
  </si>
  <si>
    <r>
      <t xml:space="preserve">Fraskilt serum: </t>
    </r>
    <r>
      <rPr>
        <b/>
        <sz val="10"/>
        <rFont val="Arial"/>
        <family val="2"/>
      </rPr>
      <t>7 dager</t>
    </r>
  </si>
  <si>
    <t>Kjøl:</t>
  </si>
  <si>
    <r>
      <t>Gelrør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7 dager</t>
    </r>
  </si>
  <si>
    <r>
      <rPr>
        <b/>
        <sz val="10"/>
        <rFont val="Arial"/>
        <family val="2"/>
      </rPr>
      <t xml:space="preserve">FRASKILT ROM: </t>
    </r>
    <r>
      <rPr>
        <sz val="10"/>
        <rFont val="Arial"/>
        <family val="2"/>
      </rPr>
      <t>1 enkeltprøver avviker mer enn tillatt totalfeil på ± 15 % etter 3 dager. 90 % konfidensintervall for gjennomsnittlig avvik fra 0-prøven ligger akkurat innenfor tillatt bias på ± 10 %. 2 av 2 prøver er negative etter 3 dager (&lt;5 U/mL). Ingen enkeltprøver avviker mer enn tillatt totalfeil, og 90 % konfidensintervall er innenfor krav til bias etter 5 dager. 2 av 2 prøver er negative etter 5 dager. Ingen enkeltprøver avviker mer enn tillatt totalfeil, og 90 % konfidensintervall er innnenfor krav til bias etter 7 dager. 2 av 2 prøver er negative etter 7 dager. En ser visuelt på plottet at verdien av GAD-antistoff øker i løpet av tidsperioden på 7 dager.</t>
    </r>
  </si>
  <si>
    <t>IA, kun validert holdbarhet utover produsents anbefalinger; pakningsvedlegg.</t>
  </si>
  <si>
    <r>
      <rPr>
        <b/>
        <sz val="10"/>
        <rFont val="Arial"/>
        <family val="2"/>
      </rPr>
      <t>GEL ROM</t>
    </r>
    <r>
      <rPr>
        <sz val="10"/>
        <rFont val="Arial"/>
        <family val="2"/>
      </rPr>
      <t xml:space="preserve">: 1 enkeltprøve avviker mer enn tillatt totalfeil på ± 15 % etter 3 dager. 90 % konfidensintervall for gjennomsnittlig avvik fra 0-prøven ligger innenfor tillatt bias på ± 10 %. 2 av 2 prøver er negative etter 3 dager (&lt;5 U/mL). Ingen enkeltprøver avviker mer enn tillatt totalfeil, og 90 % konfidensintervall er innenfor tillatt bias etter 5 dager. 2 av 2 prøver er negative 5 dager. 2 enkeltprøver avviker mer enn tillatt totalfeil og 90 % konfidensintervall ligger utenfor tillatt bias etter 7 dager. 2 av 2 prøver er negative etter 7 dager. En ser visuelt på plottet at verdien av GAD-antistoff øker i løpet av tidsperioden på 7 dager. </t>
    </r>
  </si>
  <si>
    <t>11.02.2019 - Hjellestad, Iren Drange, 08.02.2019 - Søfteland, Eirik, 21.03.2019 - Søfteland, Eirik, 01.03.2019 - Torvestad, Astrid, 22.01.2019 - Torvestad, Astrid, 19.03.2019 - Trude Andersen, 25.01.2019 - Trude Andersen</t>
  </si>
  <si>
    <t>01.04.2019 - Hege Hoff Skavøy, 01.04.2019 - Jørn Vegard Sagen, 28.03.2019 - Søfteland, Eirik, 22.03.2019 - Torvestad, Astrid, 26.03.2019 - Trude Andersen</t>
  </si>
  <si>
    <t xml:space="preserve">En ser en trend til økning av GAD-antistoff i prøvene som ble oppbevart i romtemperatur. En ser ikke samme trend i prøvene oppbevart i kjøleskap (2-8 °C). Kvalitetsmålene er oppfylt etter 7 dager i fraskilt serum, både oppbevart kjølig og i romtemperatur. De samme kravene er oppfylt for gelrør etter 5 dager i romtemperatur og 7 dager i kjøl. </t>
  </si>
  <si>
    <r>
      <t>Gelrør:</t>
    </r>
    <r>
      <rPr>
        <b/>
        <sz val="10"/>
        <rFont val="Arial"/>
        <family val="2"/>
      </rPr>
      <t xml:space="preserve"> 5 dager</t>
    </r>
  </si>
  <si>
    <r>
      <t xml:space="preserve">Fraskilt serum: </t>
    </r>
    <r>
      <rPr>
        <b/>
        <sz val="10"/>
        <rFont val="Arial"/>
        <family val="2"/>
      </rPr>
      <t xml:space="preserve">7 dager </t>
    </r>
  </si>
  <si>
    <t>BE</t>
  </si>
  <si>
    <t>EKR_DokType¤2#0¤2#Rapport¤3#EKR_Doktittel¤2#0¤2#Holdbarhetsforsøk GADA¤3#EKR_DokumentID¤2#0¤2#R14546¤3#EKR_RefNr¤2#0¤2#02.13.5.11.10.1.1-R14546¤3#EKR_Gradering¤2#0¤2#Åpen¤3#EKR_Signatur¤2#0¤2#&lt;skal ikke godkjennes&gt;¤3#EKR_Verifisert¤2#0¤2#01.04.2019 - Hege Hoff Skavøy, 01.04.2019 - Jørn Vegard Sagen, 28.03.2019 - Søfteland, Eirik, 22.03.2019 - Torvestad, Astrid, 26.03.2019 - Trude Andersen¤3#EKR_Hørt¤2#0¤2#11.02.2019 - Hjellestad, Iren Drange, 08.02.2019 - Søfteland, Eirik, 21.03.2019 - Søfteland, Eirik, 01.03.2019 - Torvestad, Astrid, 22.01.2019 - Torvestad, Astrid, 19.03.2019 - Trude Andersen, 25.01.2019 - Trude Andersen¤3#EKR_AuditReview¤2#2¤2#¤3#EKR_AuditApprove¤2#2¤2#¤3#EKR_AuditFinal¤2#2¤2#¤3#EKR_Dokeier¤2#0¤2#&lt;Ingen&gt;¤3#EKR_Status¤2#0¤2#Utfylt¤3#EKR_Opprettet¤2#0¤2#20.08.2018¤3#EKR_Endret¤2#0¤2#28.05.2019¤3#EKR_Ibruk¤2#0¤2#28.05.2019¤3#EKR_Rapport¤2#3¤2#¤3#EKR_Utgitt¤2#0¤2#20.08.2018¤3#EKR_SkrevetAv¤2#0¤2#Marte Grøsvik¤3#EKR_UText1¤2#0¤2# ¤3#EKR_UText2¤2#0¤2# ¤3#EKR_UText3¤2#0¤2# ¤3#EKR_UText4¤2#0¤2# ¤3#EKR_DokRefnr¤2#4¤2#000302130511100101¤3#EKR_Gradnr¤2#4¤2#0¤3#EKR_Strukt00¤2#5¤2#¤5#¤5#HVRHF¤5#1¤5#-1¤4#¤5#02¤5#Helse Bergen HF¤5#1¤5#0¤4#.¤5#13¤5#Laboratorieklinikken¤5#1¤5#0¤4#.¤5#5¤5#Hormonlaboratoriet¤5#1¤5#0¤4#.¤5#11¤5#Validering/verifisering og endringskontroll¤5#0¤5#0¤4#.¤5#10¤5#Holdbarhetsforsøk¤5#0¤5#0¤4#.¤5#1¤5#Prøvemateriale¤5#0¤5#0¤4#.¤5#1¤5#AS¤5#0¤5#0¤4# - ¤3#</t>
  </si>
  <si>
    <t>EKR_Status¤1#EKR_Ibruk¤1#</t>
  </si>
  <si>
    <t>ja</t>
  </si>
  <si>
    <t>11.02.19 Iren Hjellestad</t>
  </si>
  <si>
    <r>
      <t xml:space="preserve">25.02.19 Iren Hjellestad: </t>
    </r>
    <r>
      <rPr>
        <sz val="10"/>
        <rFont val="Arial"/>
        <family val="2"/>
      </rPr>
      <t xml:space="preserve">Vurdering av bias og tillatt totalfeil: GADA er kvalitativ/binær analyse med underliggende kvantitativ størrelse på den biokjemiske substansen som måles. Dvs. at verdier nær omslagspunktet for positiv test vil ha lettere for å gi feil resultat mens svært høye eller svært lave verdier vil ha lettere for å gi riktig resultat.   Fra verifisering har vi følgende: Innenserie CV% i lav pool 6,4%  høy pool 5,7%. Mellomserie CV% lav pool 9,6% og høy pool 9,1% satt av leverandør. Omslagspunktet for GADAS ved 5 U/mL er det klinisk viktige området og brukes som grunnlag for å sette krav til bias og tillatt totalfeil. </t>
    </r>
  </si>
  <si>
    <r>
      <rPr>
        <b/>
        <sz val="10"/>
        <rFont val="Arial"/>
        <family val="2"/>
      </rPr>
      <t>11.02.19 Iren Hjellestad</t>
    </r>
    <r>
      <rPr>
        <sz val="10"/>
        <rFont val="Arial"/>
        <family val="2"/>
      </rPr>
      <t>: Prøve nummer 4 er en outlier og tas ut fra vurderingene. To negative prøver er testet. For en av disse blir resultatet positivt ved tid 5 dager for så å bli negativt igjen ved 7 dager når oppbevart på gelrør. Oppbevart fraskilt i romtemperatur er kravene oppfylt i 5 dager. 
Det observeres en stigende trend i nivået av GADAS fra dag 0 til dag 7 i romtemperatur. 
Vurdering: Krav til holdbarhet er oppfyllt for 5 dager i romtemperatur i fraskilt serum og for 7 dager oppbevart på kjøl. Konf. SOFE.</t>
    </r>
  </si>
  <si>
    <r>
      <t xml:space="preserve">Dato og signatur: </t>
    </r>
    <r>
      <rPr>
        <b/>
        <sz val="10"/>
        <rFont val="Arial"/>
        <family val="2"/>
      </rPr>
      <t>19.03.19/Marte Grøsvik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</si>
</sst>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8"/>
      <color theme="3" tint="-0.499984740745262"/>
      <name val="Arial"/>
      <family val="2"/>
    </font>
    <font>
      <sz val="12"/>
      <color theme="3" tint="-0.499984740745262"/>
      <name val="Calibri"/>
      <family val="2"/>
    </font>
    <font>
      <b/>
      <sz val="11"/>
      <color theme="3" tint="-0.499984740745262"/>
      <name val="Arial"/>
      <family val="2"/>
    </font>
    <font>
      <sz val="11"/>
      <color theme="3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0" fillId="0" borderId="1" xfId="0" applyBorder="1"/>
    <xf numFmtId="0" fontId="0" fillId="0" borderId="0" xfId="0" applyBorder="1"/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0" fillId="2" borderId="2" xfId="0" applyFill="1" applyBorder="1" applyAlignment="1" applyProtection="1">
      <protection locked="0"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3" xfId="0" applyFont="1" applyFill="1" applyBorder="1" applyAlignment="1" applyProtection="1">
      <alignment horizontal="right"/>
    </xf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2" fontId="0" fillId="3" borderId="4" xfId="0" applyNumberFormat="1" applyFill="1" applyBorder="1" applyAlignment="1" applyProtection="1"/>
    <xf numFmtId="2" fontId="0" fillId="3" borderId="3" xfId="0" applyNumberFormat="1" applyFill="1" applyBorder="1" applyAlignment="1" applyProtection="1"/>
    <xf numFmtId="2" fontId="0" fillId="3" borderId="7" xfId="0" applyNumberFormat="1" applyFill="1" applyBorder="1" applyAlignment="1" applyProtection="1"/>
    <xf numFmtId="2" fontId="2" fillId="3" borderId="8" xfId="0" applyNumberFormat="1" applyFont="1" applyFill="1" applyBorder="1" applyProtection="1"/>
    <xf numFmtId="2" fontId="2" fillId="3" borderId="9" xfId="0" applyNumberFormat="1" applyFont="1" applyFill="1" applyBorder="1" applyProtection="1"/>
    <xf numFmtId="2" fontId="0" fillId="3" borderId="7" xfId="0" applyNumberFormat="1" applyFill="1" applyBorder="1" applyProtection="1"/>
    <xf numFmtId="2" fontId="0" fillId="3" borderId="10" xfId="0" applyNumberFormat="1" applyFill="1" applyBorder="1" applyProtection="1"/>
    <xf numFmtId="2" fontId="0" fillId="3" borderId="6" xfId="0" applyNumberFormat="1" applyFill="1" applyBorder="1" applyProtection="1"/>
    <xf numFmtId="2" fontId="2" fillId="3" borderId="11" xfId="0" applyNumberFormat="1" applyFont="1" applyFill="1" applyBorder="1" applyProtection="1"/>
    <xf numFmtId="2" fontId="0" fillId="3" borderId="3" xfId="0" applyNumberFormat="1" applyFill="1" applyBorder="1" applyProtection="1"/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16" fillId="4" borderId="0" xfId="0" applyFont="1" applyFill="1"/>
    <xf numFmtId="0" fontId="16" fillId="5" borderId="13" xfId="0" applyFont="1" applyFill="1" applyBorder="1"/>
    <xf numFmtId="0" fontId="16" fillId="4" borderId="0" xfId="0" applyFont="1" applyFill="1" applyBorder="1"/>
    <xf numFmtId="0" fontId="16" fillId="5" borderId="13" xfId="0" applyFont="1" applyFill="1" applyBorder="1" applyAlignment="1">
      <alignment horizontal="center"/>
    </xf>
    <xf numFmtId="0" fontId="16" fillId="6" borderId="13" xfId="0" applyFont="1" applyFill="1" applyBorder="1"/>
    <xf numFmtId="0" fontId="16" fillId="6" borderId="14" xfId="0" applyFont="1" applyFill="1" applyBorder="1" applyAlignment="1"/>
    <xf numFmtId="0" fontId="16" fillId="6" borderId="16" xfId="0" applyFont="1" applyFill="1" applyBorder="1" applyAlignment="1"/>
    <xf numFmtId="0" fontId="16" fillId="6" borderId="14" xfId="0" applyFont="1" applyFill="1" applyBorder="1"/>
    <xf numFmtId="0" fontId="16" fillId="6" borderId="15" xfId="0" applyFont="1" applyFill="1" applyBorder="1"/>
    <xf numFmtId="0" fontId="16" fillId="6" borderId="16" xfId="0" applyFont="1" applyFill="1" applyBorder="1"/>
    <xf numFmtId="0" fontId="17" fillId="6" borderId="13" xfId="0" applyFont="1" applyFill="1" applyBorder="1"/>
    <xf numFmtId="0" fontId="16" fillId="6" borderId="18" xfId="0" applyFont="1" applyFill="1" applyBorder="1"/>
    <xf numFmtId="0" fontId="16" fillId="5" borderId="18" xfId="0" applyFont="1" applyFill="1" applyBorder="1"/>
    <xf numFmtId="0" fontId="16" fillId="6" borderId="19" xfId="0" applyFont="1" applyFill="1" applyBorder="1"/>
    <xf numFmtId="0" fontId="16" fillId="6" borderId="20" xfId="0" applyFont="1" applyFill="1" applyBorder="1"/>
    <xf numFmtId="0" fontId="16" fillId="6" borderId="21" xfId="0" applyFont="1" applyFill="1" applyBorder="1"/>
    <xf numFmtId="0" fontId="16" fillId="6" borderId="12" xfId="0" applyFont="1" applyFill="1" applyBorder="1"/>
    <xf numFmtId="0" fontId="16" fillId="5" borderId="22" xfId="0" applyFont="1" applyFill="1" applyBorder="1"/>
    <xf numFmtId="0" fontId="16" fillId="6" borderId="23" xfId="0" applyFont="1" applyFill="1" applyBorder="1"/>
    <xf numFmtId="0" fontId="16" fillId="5" borderId="24" xfId="0" applyFont="1" applyFill="1" applyBorder="1"/>
    <xf numFmtId="0" fontId="16" fillId="5" borderId="25" xfId="0" applyFont="1" applyFill="1" applyBorder="1"/>
    <xf numFmtId="0" fontId="16" fillId="6" borderId="26" xfId="0" applyFont="1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8" xfId="0" applyFill="1" applyBorder="1"/>
    <xf numFmtId="0" fontId="0" fillId="5" borderId="39" xfId="0" applyFill="1" applyBorder="1"/>
    <xf numFmtId="0" fontId="18" fillId="4" borderId="0" xfId="0" applyFont="1" applyFill="1"/>
    <xf numFmtId="0" fontId="18" fillId="5" borderId="32" xfId="0" applyFont="1" applyFill="1" applyBorder="1"/>
    <xf numFmtId="0" fontId="0" fillId="0" borderId="0" xfId="0" quotePrefix="1"/>
    <xf numFmtId="0" fontId="21" fillId="3" borderId="0" xfId="0" applyFont="1" applyFill="1" applyBorder="1" applyProtection="1"/>
    <xf numFmtId="0" fontId="21" fillId="3" borderId="0" xfId="0" applyFont="1" applyFill="1" applyProtection="1"/>
    <xf numFmtId="0" fontId="20" fillId="3" borderId="40" xfId="0" applyFont="1" applyFill="1" applyBorder="1" applyAlignment="1" applyProtection="1">
      <alignment horizontal="center"/>
      <protection locked="0"/>
    </xf>
    <xf numFmtId="0" fontId="21" fillId="3" borderId="1" xfId="0" applyFont="1" applyFill="1" applyBorder="1" applyProtection="1"/>
    <xf numFmtId="0" fontId="20" fillId="3" borderId="11" xfId="0" applyFont="1" applyFill="1" applyBorder="1" applyAlignment="1" applyProtection="1">
      <alignment horizontal="center"/>
      <protection locked="0"/>
    </xf>
    <xf numFmtId="0" fontId="20" fillId="3" borderId="10" xfId="0" applyFont="1" applyFill="1" applyBorder="1" applyAlignment="1" applyProtection="1">
      <alignment horizontal="center"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Protection="1"/>
    <xf numFmtId="2" fontId="22" fillId="3" borderId="0" xfId="0" applyNumberFormat="1" applyFont="1" applyFill="1" applyBorder="1" applyAlignment="1" applyProtection="1">
      <alignment vertical="top" wrapText="1"/>
    </xf>
    <xf numFmtId="0" fontId="21" fillId="3" borderId="0" xfId="0" applyFont="1" applyFill="1" applyAlignment="1" applyProtection="1">
      <alignment vertical="top" wrapText="1"/>
    </xf>
    <xf numFmtId="0" fontId="21" fillId="3" borderId="0" xfId="0" applyFont="1" applyFill="1" applyBorder="1" applyAlignment="1" applyProtection="1">
      <alignment vertical="top" wrapText="1"/>
    </xf>
    <xf numFmtId="0" fontId="21" fillId="3" borderId="0" xfId="0" applyFont="1" applyFill="1" applyBorder="1" applyAlignment="1" applyProtection="1">
      <alignment vertical="justify" wrapText="1"/>
    </xf>
    <xf numFmtId="0" fontId="21" fillId="3" borderId="0" xfId="0" applyFont="1" applyFill="1" applyAlignment="1" applyProtection="1">
      <alignment vertical="justify" wrapText="1"/>
    </xf>
    <xf numFmtId="0" fontId="20" fillId="3" borderId="3" xfId="0" applyFont="1" applyFill="1" applyBorder="1" applyAlignment="1" applyProtection="1">
      <alignment horizontal="center"/>
      <protection locked="0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21" fillId="0" borderId="20" xfId="0" applyNumberFormat="1" applyFont="1" applyBorder="1" applyAlignment="1" applyProtection="1">
      <alignment horizontal="center"/>
      <protection locked="0"/>
    </xf>
    <xf numFmtId="2" fontId="21" fillId="0" borderId="12" xfId="0" applyNumberFormat="1" applyFont="1" applyBorder="1" applyAlignment="1" applyProtection="1">
      <alignment horizontal="center"/>
      <protection locked="0"/>
    </xf>
    <xf numFmtId="2" fontId="21" fillId="0" borderId="13" xfId="0" applyNumberFormat="1" applyFont="1" applyBorder="1" applyAlignment="1" applyProtection="1">
      <alignment horizontal="center"/>
      <protection locked="0"/>
    </xf>
    <xf numFmtId="0" fontId="23" fillId="7" borderId="0" xfId="0" applyFont="1" applyFill="1"/>
    <xf numFmtId="0" fontId="0" fillId="7" borderId="0" xfId="0" applyFill="1"/>
    <xf numFmtId="0" fontId="0" fillId="7" borderId="0" xfId="0" applyFill="1" applyBorder="1"/>
    <xf numFmtId="0" fontId="23" fillId="7" borderId="0" xfId="0" applyFont="1" applyFill="1" applyBorder="1"/>
    <xf numFmtId="0" fontId="23" fillId="4" borderId="0" xfId="0" applyFont="1" applyFill="1"/>
    <xf numFmtId="0" fontId="2" fillId="4" borderId="0" xfId="0" applyFont="1" applyFill="1"/>
    <xf numFmtId="0" fontId="24" fillId="4" borderId="0" xfId="0" applyFont="1" applyFill="1"/>
    <xf numFmtId="0" fontId="25" fillId="8" borderId="40" xfId="0" applyFont="1" applyFill="1" applyBorder="1" applyAlignment="1">
      <alignment vertical="center" wrapText="1"/>
    </xf>
    <xf numFmtId="0" fontId="25" fillId="8" borderId="11" xfId="0" applyFont="1" applyFill="1" applyBorder="1" applyAlignment="1">
      <alignment vertical="center" wrapText="1"/>
    </xf>
    <xf numFmtId="0" fontId="12" fillId="6" borderId="13" xfId="0" applyFont="1" applyFill="1" applyBorder="1"/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26" fillId="4" borderId="0" xfId="0" applyFont="1" applyFill="1"/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22" xfId="0" applyNumberFormat="1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164" fontId="21" fillId="0" borderId="12" xfId="0" applyNumberFormat="1" applyFont="1" applyBorder="1" applyAlignment="1" applyProtection="1">
      <alignment horizontal="center"/>
      <protection locked="0"/>
    </xf>
    <xf numFmtId="164" fontId="21" fillId="0" borderId="13" xfId="0" applyNumberFormat="1" applyFont="1" applyBorder="1" applyAlignment="1" applyProtection="1">
      <alignment horizontal="center"/>
      <protection locked="0"/>
    </xf>
    <xf numFmtId="164" fontId="21" fillId="0" borderId="22" xfId="0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164" fontId="21" fillId="0" borderId="25" xfId="0" applyNumberFormat="1" applyFont="1" applyBorder="1" applyAlignment="1" applyProtection="1">
      <alignment horizontal="center"/>
      <protection locked="0"/>
    </xf>
    <xf numFmtId="0" fontId="20" fillId="2" borderId="44" xfId="0" applyFont="1" applyFill="1" applyBorder="1" applyAlignment="1" applyProtection="1">
      <alignment horizontal="center"/>
      <protection locked="0"/>
    </xf>
    <xf numFmtId="0" fontId="20" fillId="2" borderId="41" xfId="0" applyFont="1" applyFill="1" applyBorder="1" applyAlignment="1" applyProtection="1">
      <alignment horizontal="center"/>
      <protection locked="0"/>
    </xf>
    <xf numFmtId="0" fontId="20" fillId="2" borderId="42" xfId="0" applyFont="1" applyFill="1" applyBorder="1" applyAlignment="1" applyProtection="1">
      <alignment horizontal="center"/>
      <protection locked="0"/>
    </xf>
    <xf numFmtId="0" fontId="20" fillId="2" borderId="43" xfId="0" applyFont="1" applyFill="1" applyBorder="1" applyAlignment="1" applyProtection="1">
      <alignment horizontal="center"/>
      <protection locked="0"/>
    </xf>
    <xf numFmtId="0" fontId="20" fillId="3" borderId="3" xfId="0" applyFont="1" applyFill="1" applyBorder="1" applyAlignment="1" applyProtection="1">
      <alignment horizontal="center"/>
    </xf>
    <xf numFmtId="0" fontId="3" fillId="4" borderId="0" xfId="1" applyFill="1" applyAlignment="1" applyProtection="1"/>
    <xf numFmtId="0" fontId="16" fillId="5" borderId="13" xfId="0" quotePrefix="1" applyFont="1" applyFill="1" applyBorder="1"/>
    <xf numFmtId="0" fontId="28" fillId="5" borderId="0" xfId="0" applyFont="1" applyFill="1"/>
    <xf numFmtId="0" fontId="29" fillId="6" borderId="13" xfId="0" applyFont="1" applyFill="1" applyBorder="1"/>
    <xf numFmtId="0" fontId="11" fillId="5" borderId="47" xfId="0" applyFont="1" applyFill="1" applyBorder="1"/>
    <xf numFmtId="0" fontId="0" fillId="5" borderId="10" xfId="0" applyFill="1" applyBorder="1"/>
    <xf numFmtId="0" fontId="0" fillId="5" borderId="5" xfId="0" applyFill="1" applyBorder="1"/>
    <xf numFmtId="0" fontId="23" fillId="5" borderId="37" xfId="0" applyFont="1" applyFill="1" applyBorder="1"/>
    <xf numFmtId="0" fontId="23" fillId="5" borderId="0" xfId="0" applyFont="1" applyFill="1" applyBorder="1" applyAlignment="1">
      <alignment vertical="center" wrapText="1"/>
    </xf>
    <xf numFmtId="0" fontId="23" fillId="5" borderId="36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wrapText="1"/>
    </xf>
    <xf numFmtId="0" fontId="23" fillId="5" borderId="36" xfId="0" applyFont="1" applyFill="1" applyBorder="1" applyAlignment="1">
      <alignment wrapText="1"/>
    </xf>
    <xf numFmtId="0" fontId="0" fillId="5" borderId="0" xfId="0" applyFill="1" applyBorder="1" applyAlignment="1"/>
    <xf numFmtId="0" fontId="0" fillId="5" borderId="36" xfId="0" applyFill="1" applyBorder="1" applyAlignment="1"/>
    <xf numFmtId="0" fontId="0" fillId="5" borderId="0" xfId="0" applyFill="1" applyBorder="1" applyAlignment="1">
      <alignment horizontal="left"/>
    </xf>
    <xf numFmtId="0" fontId="23" fillId="5" borderId="35" xfId="0" applyFont="1" applyFill="1" applyBorder="1" applyAlignment="1">
      <alignment horizontal="left"/>
    </xf>
    <xf numFmtId="0" fontId="2" fillId="5" borderId="0" xfId="0" applyFont="1" applyFill="1" applyBorder="1" applyAlignment="1">
      <alignment vertical="center" wrapText="1"/>
    </xf>
    <xf numFmtId="0" fontId="23" fillId="5" borderId="0" xfId="0" applyFont="1" applyFill="1" applyBorder="1" applyAlignment="1"/>
    <xf numFmtId="0" fontId="0" fillId="5" borderId="0" xfId="0" applyFill="1"/>
    <xf numFmtId="0" fontId="0" fillId="5" borderId="0" xfId="0" applyFill="1" applyAlignment="1">
      <alignment horizontal="left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19" fillId="4" borderId="0" xfId="0" applyFont="1" applyFill="1" applyAlignment="1">
      <alignment horizont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5" borderId="27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5" fillId="5" borderId="28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left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1" fillId="3" borderId="0" xfId="0" applyNumberFormat="1" applyFont="1" applyFill="1" applyBorder="1" applyAlignment="1" applyProtection="1">
      <alignment vertical="justify" wrapText="1"/>
    </xf>
    <xf numFmtId="0" fontId="21" fillId="0" borderId="0" xfId="0" applyFont="1" applyAlignment="1">
      <alignment vertical="justify" wrapText="1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0" fillId="3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23" fillId="5" borderId="1" xfId="0" applyFont="1" applyFill="1" applyBorder="1" applyAlignment="1">
      <alignment horizontal="left" vertical="top" wrapText="1"/>
    </xf>
    <xf numFmtId="0" fontId="23" fillId="5" borderId="0" xfId="0" applyFont="1" applyFill="1" applyBorder="1" applyAlignment="1">
      <alignment horizontal="left" vertical="top" wrapText="1"/>
    </xf>
    <xf numFmtId="0" fontId="23" fillId="5" borderId="6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0" fillId="5" borderId="35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2" fillId="5" borderId="3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3" fillId="5" borderId="35" xfId="0" applyFont="1" applyFill="1" applyBorder="1" applyAlignment="1">
      <alignment horizontal="left" wrapText="1"/>
    </xf>
    <xf numFmtId="0" fontId="23" fillId="5" borderId="0" xfId="0" applyFont="1" applyFill="1" applyBorder="1" applyAlignment="1">
      <alignment horizontal="left" wrapText="1"/>
    </xf>
    <xf numFmtId="0" fontId="2" fillId="5" borderId="36" xfId="0" applyFont="1" applyFill="1" applyBorder="1" applyAlignment="1">
      <alignment horizontal="left" vertical="center" wrapText="1"/>
    </xf>
    <xf numFmtId="0" fontId="23" fillId="5" borderId="4" xfId="0" applyFont="1" applyFill="1" applyBorder="1" applyAlignment="1">
      <alignment horizontal="left" vertical="top" wrapText="1"/>
    </xf>
    <xf numFmtId="0" fontId="23" fillId="5" borderId="3" xfId="0" applyFont="1" applyFill="1" applyBorder="1" applyAlignment="1">
      <alignment horizontal="left" vertical="top" wrapText="1"/>
    </xf>
    <xf numFmtId="0" fontId="23" fillId="5" borderId="7" xfId="0" applyFont="1" applyFill="1" applyBorder="1" applyAlignment="1">
      <alignment horizontal="left" vertical="top" wrapText="1"/>
    </xf>
    <xf numFmtId="0" fontId="23" fillId="5" borderId="35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23" fillId="5" borderId="36" xfId="0" applyFont="1" applyFill="1" applyBorder="1" applyAlignment="1">
      <alignment horizontal="left" vertical="center" wrapText="1"/>
    </xf>
    <xf numFmtId="17" fontId="0" fillId="4" borderId="0" xfId="0" applyNumberFormat="1" applyFill="1"/>
  </cellXfs>
  <cellStyles count="2">
    <cellStyle name="Hyperkobling" xfId="1" builtinId="8"/>
    <cellStyle name="Normal" xfId="0" builtinId="0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ROM'!$B$10:$J$10</c:f>
              <c:numCache>
                <c:formatCode>0.00</c:formatCode>
                <c:ptCount val="9"/>
                <c:pt idx="0">
                  <c:v>18.127400000000002</c:v>
                </c:pt>
                <c:pt idx="1">
                  <c:v>15.388</c:v>
                </c:pt>
                <c:pt idx="2">
                  <c:v>17.172000000000001</c:v>
                </c:pt>
                <c:pt idx="3">
                  <c:v>17.79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6A-4376-BF1A-FF4D4240D9F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ROM'!$B$11:$J$11</c:f>
              <c:numCache>
                <c:formatCode>0.00</c:formatCode>
                <c:ptCount val="9"/>
                <c:pt idx="0">
                  <c:v>139.70500000000001</c:v>
                </c:pt>
                <c:pt idx="1">
                  <c:v>141.52000000000001</c:v>
                </c:pt>
                <c:pt idx="2">
                  <c:v>149.636</c:v>
                </c:pt>
                <c:pt idx="3">
                  <c:v>152.45400000000001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6A-4376-BF1A-FF4D4240D9F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ROM'!$B$12:$J$12</c:f>
              <c:numCache>
                <c:formatCode>0.00</c:formatCode>
                <c:ptCount val="9"/>
                <c:pt idx="0">
                  <c:v>25.634</c:v>
                </c:pt>
                <c:pt idx="1">
                  <c:v>25.381999999999998</c:v>
                </c:pt>
                <c:pt idx="2">
                  <c:v>26.8155</c:v>
                </c:pt>
                <c:pt idx="3">
                  <c:v>24.4695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6A-4376-BF1A-FF4D4240D9F0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ROM'!$B$13:$J$13</c:f>
              <c:numCache>
                <c:formatCode>0.00</c:formatCode>
                <c:ptCount val="9"/>
                <c:pt idx="0">
                  <c:v>271.40800000000002</c:v>
                </c:pt>
                <c:pt idx="1">
                  <c:v>324.1275</c:v>
                </c:pt>
                <c:pt idx="2">
                  <c:v>360.41200000000003</c:v>
                </c:pt>
                <c:pt idx="3">
                  <c:v>436.91049999999996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6A-4376-BF1A-FF4D4240D9F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ROM'!$B$14:$J$14</c:f>
              <c:numCache>
                <c:formatCode>0.00</c:formatCode>
                <c:ptCount val="9"/>
                <c:pt idx="0">
                  <c:v>567.87300000000005</c:v>
                </c:pt>
                <c:pt idx="1">
                  <c:v>601.19349999999997</c:v>
                </c:pt>
                <c:pt idx="2">
                  <c:v>569.73500000000001</c:v>
                </c:pt>
                <c:pt idx="3">
                  <c:v>706.26800000000003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56A-4376-BF1A-FF4D4240D9F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ROM'!$B$15:$J$15</c:f>
              <c:numCache>
                <c:formatCode>0.00</c:formatCode>
                <c:ptCount val="9"/>
                <c:pt idx="0">
                  <c:v>24.23</c:v>
                </c:pt>
                <c:pt idx="1">
                  <c:v>24.630000000000003</c:v>
                </c:pt>
                <c:pt idx="2">
                  <c:v>25.061</c:v>
                </c:pt>
                <c:pt idx="3">
                  <c:v>25.799500000000002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56A-4376-BF1A-FF4D4240D9F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ROM'!$B$16:$J$16</c:f>
              <c:numCache>
                <c:formatCode>0.00</c:formatCode>
                <c:ptCount val="9"/>
                <c:pt idx="0">
                  <c:v>59.962000000000003</c:v>
                </c:pt>
                <c:pt idx="1">
                  <c:v>64.497</c:v>
                </c:pt>
                <c:pt idx="2">
                  <c:v>67.697499999999991</c:v>
                </c:pt>
                <c:pt idx="3">
                  <c:v>69.040999999999997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56A-4376-BF1A-FF4D4240D9F0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ROM'!$B$17:$J$17</c:f>
              <c:numCache>
                <c:formatCode>0.00</c:formatCode>
                <c:ptCount val="9"/>
                <c:pt idx="0">
                  <c:v>643.28499999999997</c:v>
                </c:pt>
                <c:pt idx="1">
                  <c:v>555.18399999999997</c:v>
                </c:pt>
                <c:pt idx="2">
                  <c:v>604.47800000000007</c:v>
                </c:pt>
                <c:pt idx="3">
                  <c:v>660.64149999999995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56A-4376-BF1A-FF4D4240D9F0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ROM'!$B$18:$J$18</c:f>
              <c:numCache>
                <c:formatCode>0.00</c:formatCode>
                <c:ptCount val="9"/>
                <c:pt idx="0">
                  <c:v>582.56050000000005</c:v>
                </c:pt>
                <c:pt idx="1">
                  <c:v>537.14400000000001</c:v>
                </c:pt>
                <c:pt idx="2">
                  <c:v>590.78649999999993</c:v>
                </c:pt>
                <c:pt idx="3">
                  <c:v>589.60050000000001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56A-4376-BF1A-FF4D4240D9F0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ROM'!$B$19:$J$19</c:f>
              <c:numCache>
                <c:formatCode>0.00</c:formatCode>
                <c:ptCount val="9"/>
                <c:pt idx="0">
                  <c:v>11.131</c:v>
                </c:pt>
                <c:pt idx="1">
                  <c:v>11.567</c:v>
                </c:pt>
                <c:pt idx="2">
                  <c:v>11.219999999999999</c:v>
                </c:pt>
                <c:pt idx="3">
                  <c:v>11.748999999999999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56A-4376-BF1A-FF4D4240D9F0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ROM'!$B$20:$J$20</c:f>
              <c:numCache>
                <c:formatCode>0.00</c:formatCode>
                <c:ptCount val="9"/>
                <c:pt idx="0">
                  <c:v>3.8534999999999999</c:v>
                </c:pt>
                <c:pt idx="1">
                  <c:v>3.8929999999999998</c:v>
                </c:pt>
                <c:pt idx="2">
                  <c:v>3.8879999999999999</c:v>
                </c:pt>
                <c:pt idx="3">
                  <c:v>3.8935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56A-4376-BF1A-FF4D4240D9F0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ROM'!$B$21:$J$21</c:f>
              <c:numCache>
                <c:formatCode>0.00</c:formatCode>
                <c:ptCount val="9"/>
                <c:pt idx="0">
                  <c:v>2.835</c:v>
                </c:pt>
                <c:pt idx="1">
                  <c:v>2.8315000000000001</c:v>
                </c:pt>
                <c:pt idx="2">
                  <c:v>2.8505000000000003</c:v>
                </c:pt>
                <c:pt idx="3">
                  <c:v>2.9645000000000001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56A-4376-BF1A-FF4D4240D9F0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56A-4376-BF1A-FF4D4240D9F0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56A-4376-BF1A-FF4D4240D9F0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56A-4376-BF1A-FF4D4240D9F0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56A-4376-BF1A-FF4D4240D9F0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56A-4376-BF1A-FF4D4240D9F0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56A-4376-BF1A-FF4D4240D9F0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56A-4376-BF1A-FF4D4240D9F0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56A-4376-BF1A-FF4D4240D9F0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56A-4376-BF1A-FF4D4240D9F0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56A-4376-BF1A-FF4D4240D9F0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56A-4376-BF1A-FF4D4240D9F0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56A-4376-BF1A-FF4D4240D9F0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56A-4376-BF1A-FF4D4240D9F0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56A-4376-BF1A-FF4D4240D9F0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56A-4376-BF1A-FF4D4240D9F0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56A-4376-BF1A-FF4D4240D9F0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56A-4376-BF1A-FF4D4240D9F0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56A-4376-BF1A-FF4D4240D9F0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56A-4376-BF1A-FF4D4240D9F0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56A-4376-BF1A-FF4D4240D9F0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56A-4376-BF1A-FF4D4240D9F0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56A-4376-BF1A-FF4D4240D9F0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56A-4376-BF1A-FF4D4240D9F0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56A-4376-BF1A-FF4D4240D9F0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56A-4376-BF1A-FF4D4240D9F0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56A-4376-BF1A-FF4D4240D9F0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56A-4376-BF1A-FF4D4240D9F0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56A-4376-BF1A-FF4D4240D9F0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56A-4376-BF1A-FF4D4240D9F0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56A-4376-BF1A-FF4D4240D9F0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56A-4376-BF1A-FF4D4240D9F0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56A-4376-BF1A-FF4D4240D9F0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56A-4376-BF1A-FF4D4240D9F0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56A-4376-BF1A-FF4D4240D9F0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56A-4376-BF1A-FF4D4240D9F0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56A-4376-BF1A-FF4D4240D9F0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56A-4376-BF1A-FF4D4240D9F0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56A-4376-BF1A-FF4D4240D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ROM'!$B$66:$J$66</c:f>
              <c:numCache>
                <c:formatCode>0.00</c:formatCode>
                <c:ptCount val="9"/>
                <c:pt idx="0">
                  <c:v>100</c:v>
                </c:pt>
                <c:pt idx="1">
                  <c:v>84.888069993490518</c:v>
                </c:pt>
                <c:pt idx="2">
                  <c:v>94.729525469730902</c:v>
                </c:pt>
                <c:pt idx="3">
                  <c:v>98.138729216545102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EB-411A-9A06-7E49EC75717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ROM'!$B$67:$J$67</c:f>
              <c:numCache>
                <c:formatCode>0.00</c:formatCode>
                <c:ptCount val="9"/>
                <c:pt idx="0">
                  <c:v>100</c:v>
                </c:pt>
                <c:pt idx="1">
                  <c:v>101.29916609999643</c:v>
                </c:pt>
                <c:pt idx="2">
                  <c:v>107.10855015926415</c:v>
                </c:pt>
                <c:pt idx="3">
                  <c:v>109.12565763573244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EB-411A-9A06-7E49EC75717E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ROM'!$B$68:$J$68</c:f>
              <c:numCache>
                <c:formatCode>0.00</c:formatCode>
                <c:ptCount val="9"/>
                <c:pt idx="0">
                  <c:v>100</c:v>
                </c:pt>
                <c:pt idx="1">
                  <c:v>99.016930638995078</c:v>
                </c:pt>
                <c:pt idx="2">
                  <c:v>104.60911289693375</c:v>
                </c:pt>
                <c:pt idx="3">
                  <c:v>95.45720527424514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EB-411A-9A06-7E49EC75717E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ROM'!$B$69:$J$69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EB-411A-9A06-7E49EC75717E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ROM'!$B$70:$J$70</c:f>
              <c:numCache>
                <c:formatCode>0.00</c:formatCode>
                <c:ptCount val="9"/>
                <c:pt idx="0">
                  <c:v>100</c:v>
                </c:pt>
                <c:pt idx="1">
                  <c:v>105.86759715640643</c:v>
                </c:pt>
                <c:pt idx="2">
                  <c:v>100.32789021488959</c:v>
                </c:pt>
                <c:pt idx="3">
                  <c:v>124.37076599873562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EB-411A-9A06-7E49EC75717E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ROM'!$B$71:$J$71</c:f>
              <c:numCache>
                <c:formatCode>0.00</c:formatCode>
                <c:ptCount val="9"/>
                <c:pt idx="0">
                  <c:v>100</c:v>
                </c:pt>
                <c:pt idx="1">
                  <c:v>101.65084605860504</c:v>
                </c:pt>
                <c:pt idx="2">
                  <c:v>103.42963268675196</c:v>
                </c:pt>
                <c:pt idx="3">
                  <c:v>106.47750722245151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EB-411A-9A06-7E49EC75717E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ROM'!$B$72:$J$72</c:f>
              <c:numCache>
                <c:formatCode>0.00</c:formatCode>
                <c:ptCount val="9"/>
                <c:pt idx="0">
                  <c:v>100</c:v>
                </c:pt>
                <c:pt idx="1">
                  <c:v>107.56312331143056</c:v>
                </c:pt>
                <c:pt idx="2">
                  <c:v>112.90067042460224</c:v>
                </c:pt>
                <c:pt idx="3">
                  <c:v>115.14125612888162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EB-411A-9A06-7E49EC75717E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ROM'!$B$73:$J$73</c:f>
              <c:numCache>
                <c:formatCode>0.00</c:formatCode>
                <c:ptCount val="9"/>
                <c:pt idx="0">
                  <c:v>100</c:v>
                </c:pt>
                <c:pt idx="1">
                  <c:v>86.304515106057195</c:v>
                </c:pt>
                <c:pt idx="2">
                  <c:v>93.967370605563644</c:v>
                </c:pt>
                <c:pt idx="3">
                  <c:v>102.69810426171915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EB-411A-9A06-7E49EC75717E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ROM'!$B$74:$J$74</c:f>
              <c:numCache>
                <c:formatCode>0.00</c:formatCode>
                <c:ptCount val="9"/>
                <c:pt idx="0">
                  <c:v>100</c:v>
                </c:pt>
                <c:pt idx="1">
                  <c:v>92.203985680457208</c:v>
                </c:pt>
                <c:pt idx="2">
                  <c:v>101.41204218274322</c:v>
                </c:pt>
                <c:pt idx="3">
                  <c:v>101.20845817730519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CEB-411A-9A06-7E49EC75717E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ROM'!$B$75:$J$75</c:f>
              <c:numCache>
                <c:formatCode>0.00</c:formatCode>
                <c:ptCount val="9"/>
                <c:pt idx="0">
                  <c:v>100</c:v>
                </c:pt>
                <c:pt idx="1">
                  <c:v>103.91698859042313</c:v>
                </c:pt>
                <c:pt idx="2">
                  <c:v>100.79956877189828</c:v>
                </c:pt>
                <c:pt idx="3">
                  <c:v>105.55206180936123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CEB-411A-9A06-7E49EC75717E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ROM'!$B$76:$J$76</c:f>
              <c:numCache>
                <c:formatCode>0.00</c:formatCode>
                <c:ptCount val="9"/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CEB-411A-9A06-7E49EC75717E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ROM'!$B$77:$J$77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CEB-411A-9A06-7E49EC75717E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ROM'!$B$78:$J$78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CEB-411A-9A06-7E49EC75717E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CEB-411A-9A06-7E49EC75717E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CEB-411A-9A06-7E49EC75717E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CEB-411A-9A06-7E49EC75717E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CEB-411A-9A06-7E49EC75717E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CEB-411A-9A06-7E49EC75717E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CEB-411A-9A06-7E49EC75717E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CEB-411A-9A06-7E49EC75717E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CEB-411A-9A06-7E49EC75717E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CEB-411A-9A06-7E49EC75717E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CEB-411A-9A06-7E49EC75717E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CEB-411A-9A06-7E49EC75717E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CEB-411A-9A06-7E49EC75717E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CEB-411A-9A06-7E49EC75717E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CEB-411A-9A06-7E49EC75717E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CEB-411A-9A06-7E49EC75717E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CEB-411A-9A06-7E49EC75717E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CEB-411A-9A06-7E49EC75717E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CEB-411A-9A06-7E49EC75717E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CEB-411A-9A06-7E49EC75717E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CEB-411A-9A06-7E49EC75717E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CEB-411A-9A06-7E49EC75717E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CEB-411A-9A06-7E49EC75717E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CEB-411A-9A06-7E49EC75717E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CEB-411A-9A06-7E49EC75717E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CEB-411A-9A06-7E49EC75717E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CEB-411A-9A06-7E49EC75717E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CEB-411A-9A06-7E49EC75717E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CEB-411A-9A06-7E49EC75717E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CEB-411A-9A06-7E49EC75717E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CEB-411A-9A06-7E49EC75717E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CEB-411A-9A06-7E49EC75717E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CEB-411A-9A06-7E49EC75717E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CEB-411A-9A06-7E49EC75717E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CEB-411A-9A06-7E49EC75717E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CEB-411A-9A06-7E49EC75717E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CEB-411A-9A06-7E49EC75717E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CEB-411A-9A06-7E49EC75717E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'Gel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5.1668037637839221</c:v>
                  </c:pt>
                  <c:pt idx="2">
                    <c:v>3.637857921492389</c:v>
                  </c:pt>
                  <c:pt idx="3">
                    <c:v>5.5272944363505117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'Gel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5.1668037637839221</c:v>
                  </c:pt>
                  <c:pt idx="2">
                    <c:v>3.637857921492389</c:v>
                  </c:pt>
                  <c:pt idx="3">
                    <c:v>5.5272944363505117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ROM'!$B$116:$J$116</c:f>
              <c:numCache>
                <c:formatCode>0.00</c:formatCode>
                <c:ptCount val="9"/>
                <c:pt idx="0">
                  <c:v>100</c:v>
                </c:pt>
                <c:pt idx="1">
                  <c:v>98.079024737317951</c:v>
                </c:pt>
                <c:pt idx="2">
                  <c:v>102.14270704581975</c:v>
                </c:pt>
                <c:pt idx="3">
                  <c:v>106.463305080553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CEB-411A-9A06-7E49EC75717E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CEB-411A-9A06-7E49EC75717E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CEB-411A-9A06-7E49EC75717E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CEB-411A-9A06-7E49EC75717E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CEB-411A-9A06-7E49EC75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ROM'!$B$10:$J$10</c:f>
              <c:numCache>
                <c:formatCode>0.00</c:formatCode>
                <c:ptCount val="9"/>
                <c:pt idx="0">
                  <c:v>18.127400000000002</c:v>
                </c:pt>
                <c:pt idx="1">
                  <c:v>15.5533</c:v>
                </c:pt>
                <c:pt idx="2">
                  <c:v>16.7224</c:v>
                </c:pt>
                <c:pt idx="3">
                  <c:v>17.101700000000001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0A-4A4E-9C2A-C8D4A3260E6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ROM'!$B$11:$J$11</c:f>
              <c:numCache>
                <c:formatCode>0.00</c:formatCode>
                <c:ptCount val="9"/>
                <c:pt idx="0">
                  <c:v>139.70500000000001</c:v>
                </c:pt>
                <c:pt idx="1">
                  <c:v>140.54</c:v>
                </c:pt>
                <c:pt idx="2">
                  <c:v>147.68199999999999</c:v>
                </c:pt>
                <c:pt idx="3">
                  <c:v>158.327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0A-4A4E-9C2A-C8D4A3260E6C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ROM'!$B$12:$J$12</c:f>
              <c:numCache>
                <c:formatCode>0.00</c:formatCode>
                <c:ptCount val="9"/>
                <c:pt idx="0">
                  <c:v>25.634</c:v>
                </c:pt>
                <c:pt idx="1">
                  <c:v>25.6145</c:v>
                </c:pt>
                <c:pt idx="2">
                  <c:v>23.886499999999998</c:v>
                </c:pt>
                <c:pt idx="3">
                  <c:v>27.5075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0A-4A4E-9C2A-C8D4A3260E6C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ROM'!$B$13:$J$13</c:f>
              <c:numCache>
                <c:formatCode>0.00</c:formatCode>
                <c:ptCount val="9"/>
                <c:pt idx="0">
                  <c:v>271.40800000000002</c:v>
                </c:pt>
                <c:pt idx="1">
                  <c:v>346.9785</c:v>
                </c:pt>
                <c:pt idx="2">
                  <c:v>372.245</c:v>
                </c:pt>
                <c:pt idx="3">
                  <c:v>408.60900000000004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0A-4A4E-9C2A-C8D4A3260E6C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ROM'!$B$14:$J$14</c:f>
              <c:numCache>
                <c:formatCode>0.00</c:formatCode>
                <c:ptCount val="9"/>
                <c:pt idx="0">
                  <c:v>567.87300000000005</c:v>
                </c:pt>
                <c:pt idx="1">
                  <c:v>565.43700000000001</c:v>
                </c:pt>
                <c:pt idx="2">
                  <c:v>631.04500000000007</c:v>
                </c:pt>
                <c:pt idx="3">
                  <c:v>650.89650000000006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00A-4A4E-9C2A-C8D4A3260E6C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ROM'!$B$15:$J$15</c:f>
              <c:numCache>
                <c:formatCode>0.00</c:formatCode>
                <c:ptCount val="9"/>
                <c:pt idx="0">
                  <c:v>24.23</c:v>
                </c:pt>
                <c:pt idx="1">
                  <c:v>23.426000000000002</c:v>
                </c:pt>
                <c:pt idx="2">
                  <c:v>24.383499999999998</c:v>
                </c:pt>
                <c:pt idx="3">
                  <c:v>25.46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00A-4A4E-9C2A-C8D4A3260E6C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ROM'!$B$16:$J$16</c:f>
              <c:numCache>
                <c:formatCode>0.00</c:formatCode>
                <c:ptCount val="9"/>
                <c:pt idx="0">
                  <c:v>59.962000000000003</c:v>
                </c:pt>
                <c:pt idx="1">
                  <c:v>62.146000000000001</c:v>
                </c:pt>
                <c:pt idx="2">
                  <c:v>59.764499999999998</c:v>
                </c:pt>
                <c:pt idx="3">
                  <c:v>64.113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00A-4A4E-9C2A-C8D4A3260E6C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ROM'!$B$17:$J$17</c:f>
              <c:numCache>
                <c:formatCode>0.00</c:formatCode>
                <c:ptCount val="9"/>
                <c:pt idx="0">
                  <c:v>643.28499999999997</c:v>
                </c:pt>
                <c:pt idx="1">
                  <c:v>542.38649999999996</c:v>
                </c:pt>
                <c:pt idx="2">
                  <c:v>621.80549999999994</c:v>
                </c:pt>
                <c:pt idx="3">
                  <c:v>650.18000000000006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00A-4A4E-9C2A-C8D4A3260E6C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ROM'!$B$18:$J$18</c:f>
              <c:numCache>
                <c:formatCode>0.00</c:formatCode>
                <c:ptCount val="9"/>
                <c:pt idx="0">
                  <c:v>582.56050000000005</c:v>
                </c:pt>
                <c:pt idx="1">
                  <c:v>505.798</c:v>
                </c:pt>
                <c:pt idx="2">
                  <c:v>571.75549999999998</c:v>
                </c:pt>
                <c:pt idx="3">
                  <c:v>572.7885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00A-4A4E-9C2A-C8D4A3260E6C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ROM'!$B$19:$J$19</c:f>
              <c:numCache>
                <c:formatCode>0.00</c:formatCode>
                <c:ptCount val="9"/>
                <c:pt idx="0">
                  <c:v>11.131</c:v>
                </c:pt>
                <c:pt idx="1">
                  <c:v>10.317499999999999</c:v>
                </c:pt>
                <c:pt idx="2">
                  <c:v>11.250500000000001</c:v>
                </c:pt>
                <c:pt idx="3">
                  <c:v>11.861499999999999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00A-4A4E-9C2A-C8D4A3260E6C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ROM'!$B$20:$J$20</c:f>
              <c:numCache>
                <c:formatCode>0.00</c:formatCode>
                <c:ptCount val="9"/>
                <c:pt idx="0">
                  <c:v>3.8534999999999999</c:v>
                </c:pt>
                <c:pt idx="1">
                  <c:v>3.36</c:v>
                </c:pt>
                <c:pt idx="2">
                  <c:v>3.5845000000000002</c:v>
                </c:pt>
                <c:pt idx="3">
                  <c:v>4.0555000000000003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00A-4A4E-9C2A-C8D4A3260E6C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ROM'!$B$21:$J$21</c:f>
              <c:numCache>
                <c:formatCode>0.00</c:formatCode>
                <c:ptCount val="9"/>
                <c:pt idx="0">
                  <c:v>2.835</c:v>
                </c:pt>
                <c:pt idx="1">
                  <c:v>2.9020000000000001</c:v>
                </c:pt>
                <c:pt idx="2">
                  <c:v>2.738</c:v>
                </c:pt>
                <c:pt idx="3">
                  <c:v>3.3040000000000003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00A-4A4E-9C2A-C8D4A3260E6C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00A-4A4E-9C2A-C8D4A3260E6C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00A-4A4E-9C2A-C8D4A3260E6C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00A-4A4E-9C2A-C8D4A3260E6C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00A-4A4E-9C2A-C8D4A3260E6C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00A-4A4E-9C2A-C8D4A3260E6C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00A-4A4E-9C2A-C8D4A3260E6C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00A-4A4E-9C2A-C8D4A3260E6C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00A-4A4E-9C2A-C8D4A3260E6C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00A-4A4E-9C2A-C8D4A3260E6C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00A-4A4E-9C2A-C8D4A3260E6C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00A-4A4E-9C2A-C8D4A3260E6C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00A-4A4E-9C2A-C8D4A3260E6C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00A-4A4E-9C2A-C8D4A3260E6C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00A-4A4E-9C2A-C8D4A3260E6C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00A-4A4E-9C2A-C8D4A3260E6C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00A-4A4E-9C2A-C8D4A3260E6C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00A-4A4E-9C2A-C8D4A3260E6C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00A-4A4E-9C2A-C8D4A3260E6C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00A-4A4E-9C2A-C8D4A3260E6C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00A-4A4E-9C2A-C8D4A3260E6C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00A-4A4E-9C2A-C8D4A3260E6C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00A-4A4E-9C2A-C8D4A3260E6C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00A-4A4E-9C2A-C8D4A3260E6C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00A-4A4E-9C2A-C8D4A3260E6C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00A-4A4E-9C2A-C8D4A3260E6C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00A-4A4E-9C2A-C8D4A3260E6C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00A-4A4E-9C2A-C8D4A3260E6C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00A-4A4E-9C2A-C8D4A3260E6C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00A-4A4E-9C2A-C8D4A3260E6C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00A-4A4E-9C2A-C8D4A3260E6C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00A-4A4E-9C2A-C8D4A3260E6C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A00A-4A4E-9C2A-C8D4A3260E6C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A00A-4A4E-9C2A-C8D4A3260E6C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A00A-4A4E-9C2A-C8D4A3260E6C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A00A-4A4E-9C2A-C8D4A3260E6C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A00A-4A4E-9C2A-C8D4A3260E6C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A00A-4A4E-9C2A-C8D4A3260E6C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A00A-4A4E-9C2A-C8D4A3260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ROM'!$B$66:$J$66</c:f>
              <c:numCache>
                <c:formatCode>0.00</c:formatCode>
                <c:ptCount val="9"/>
                <c:pt idx="0">
                  <c:v>100</c:v>
                </c:pt>
                <c:pt idx="1">
                  <c:v>85.799949248099566</c:v>
                </c:pt>
                <c:pt idx="2">
                  <c:v>92.249302161368973</c:v>
                </c:pt>
                <c:pt idx="3">
                  <c:v>94.341714752253495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6B-4D2C-A57C-27B06A495EB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ROM'!$B$67:$J$67</c:f>
              <c:numCache>
                <c:formatCode>0.00</c:formatCode>
                <c:ptCount val="9"/>
                <c:pt idx="0">
                  <c:v>100</c:v>
                </c:pt>
                <c:pt idx="1">
                  <c:v>100.59768798539778</c:v>
                </c:pt>
                <c:pt idx="2">
                  <c:v>105.70988869403384</c:v>
                </c:pt>
                <c:pt idx="3">
                  <c:v>113.32951576536271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6B-4D2C-A57C-27B06A495EB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ROM'!$B$68:$J$68</c:f>
              <c:numCache>
                <c:formatCode>0.00</c:formatCode>
                <c:ptCount val="9"/>
                <c:pt idx="0">
                  <c:v>100</c:v>
                </c:pt>
                <c:pt idx="1">
                  <c:v>99.923929156588898</c:v>
                </c:pt>
                <c:pt idx="2">
                  <c:v>93.182882109698056</c:v>
                </c:pt>
                <c:pt idx="3">
                  <c:v>107.3086525708044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6B-4D2C-A57C-27B06A495EB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ROM'!$B$69:$J$69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6B-4D2C-A57C-27B06A495EB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ROM'!$B$70:$J$70</c:f>
              <c:numCache>
                <c:formatCode>0.00</c:formatCode>
                <c:ptCount val="9"/>
                <c:pt idx="0">
                  <c:v>100</c:v>
                </c:pt>
                <c:pt idx="1">
                  <c:v>99.571030846685787</c:v>
                </c:pt>
                <c:pt idx="2">
                  <c:v>111.1243182894767</c:v>
                </c:pt>
                <c:pt idx="3">
                  <c:v>114.62008230713559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6B-4D2C-A57C-27B06A495EB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ROM'!$B$71:$J$71</c:f>
              <c:numCache>
                <c:formatCode>0.00</c:formatCode>
                <c:ptCount val="9"/>
                <c:pt idx="0">
                  <c:v>100</c:v>
                </c:pt>
                <c:pt idx="1">
                  <c:v>96.681799422203881</c:v>
                </c:pt>
                <c:pt idx="2">
                  <c:v>100.63351217498968</c:v>
                </c:pt>
                <c:pt idx="3">
                  <c:v>105.07635163021047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66B-4D2C-A57C-27B06A495EB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ROM'!$B$72:$J$72</c:f>
              <c:numCache>
                <c:formatCode>0.00</c:formatCode>
                <c:ptCount val="9"/>
                <c:pt idx="0">
                  <c:v>100</c:v>
                </c:pt>
                <c:pt idx="1">
                  <c:v>103.64230679430307</c:v>
                </c:pt>
                <c:pt idx="2">
                  <c:v>99.670624728995023</c:v>
                </c:pt>
                <c:pt idx="3">
                  <c:v>106.92271772122344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66B-4D2C-A57C-27B06A495EB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ROM'!$B$73:$J$73</c:f>
              <c:numCache>
                <c:formatCode>0.00</c:formatCode>
                <c:ptCount val="9"/>
                <c:pt idx="0">
                  <c:v>100</c:v>
                </c:pt>
                <c:pt idx="1">
                  <c:v>84.315116938837377</c:v>
                </c:pt>
                <c:pt idx="2">
                  <c:v>96.660966756569792</c:v>
                </c:pt>
                <c:pt idx="3">
                  <c:v>101.07184218503464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66B-4D2C-A57C-27B06A495EB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ROM'!$B$74:$J$74</c:f>
              <c:numCache>
                <c:formatCode>0.00</c:formatCode>
                <c:ptCount val="9"/>
                <c:pt idx="0">
                  <c:v>100</c:v>
                </c:pt>
                <c:pt idx="1">
                  <c:v>86.823256983609426</c:v>
                </c:pt>
                <c:pt idx="2">
                  <c:v>98.145257016224051</c:v>
                </c:pt>
                <c:pt idx="3">
                  <c:v>98.322577655024674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66B-4D2C-A57C-27B06A495EB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ROM'!$B$75:$J$75</c:f>
              <c:numCache>
                <c:formatCode>0.00</c:formatCode>
                <c:ptCount val="9"/>
                <c:pt idx="0">
                  <c:v>100</c:v>
                </c:pt>
                <c:pt idx="1">
                  <c:v>92.691582068098086</c:v>
                </c:pt>
                <c:pt idx="2">
                  <c:v>101.07357829485221</c:v>
                </c:pt>
                <c:pt idx="3">
                  <c:v>106.56275267271582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66B-4D2C-A57C-27B06A495EB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ROM'!$B$76:$J$76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66B-4D2C-A57C-27B06A495EB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ROM'!$B$77:$J$77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66B-4D2C-A57C-27B06A495EB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ROM'!$B$78:$J$78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66B-4D2C-A57C-27B06A495EB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66B-4D2C-A57C-27B06A495EB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66B-4D2C-A57C-27B06A495EB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66B-4D2C-A57C-27B06A495EB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66B-4D2C-A57C-27B06A495EB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66B-4D2C-A57C-27B06A495EB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66B-4D2C-A57C-27B06A495EBC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66B-4D2C-A57C-27B06A495EBC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66B-4D2C-A57C-27B06A495EBC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66B-4D2C-A57C-27B06A495EBC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66B-4D2C-A57C-27B06A495EBC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66B-4D2C-A57C-27B06A495EBC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66B-4D2C-A57C-27B06A495EBC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66B-4D2C-A57C-27B06A495EBC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66B-4D2C-A57C-27B06A495EBC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66B-4D2C-A57C-27B06A495EBC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66B-4D2C-A57C-27B06A495EBC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66B-4D2C-A57C-27B06A495EBC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66B-4D2C-A57C-27B06A495EBC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66B-4D2C-A57C-27B06A495EBC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66B-4D2C-A57C-27B06A495EBC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E66B-4D2C-A57C-27B06A495EBC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66B-4D2C-A57C-27B06A495EBC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E66B-4D2C-A57C-27B06A495EBC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E66B-4D2C-A57C-27B06A495EBC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E66B-4D2C-A57C-27B06A495EBC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E66B-4D2C-A57C-27B06A495EBC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E66B-4D2C-A57C-27B06A495EBC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E66B-4D2C-A57C-27B06A495EBC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E66B-4D2C-A57C-27B06A495EBC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E66B-4D2C-A57C-27B06A495EBC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E66B-4D2C-A57C-27B06A495EBC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E66B-4D2C-A57C-27B06A495EBC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66B-4D2C-A57C-27B06A495EBC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66B-4D2C-A57C-27B06A495EBC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E66B-4D2C-A57C-27B06A495EBC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E66B-4D2C-A57C-27B06A495EBC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E66B-4D2C-A57C-27B06A495EBC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'Fraskilt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4.5033069837650954</c:v>
                  </c:pt>
                  <c:pt idx="2">
                    <c:v>3.6597660706543005</c:v>
                  </c:pt>
                  <c:pt idx="3">
                    <c:v>4.0781481264320529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'Fraskilt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4.5033069837650954</c:v>
                  </c:pt>
                  <c:pt idx="2">
                    <c:v>3.6597660706543005</c:v>
                  </c:pt>
                  <c:pt idx="3">
                    <c:v>4.0781481264320529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ROM'!$B$116:$J$116</c:f>
              <c:numCache>
                <c:formatCode>0.00</c:formatCode>
                <c:ptCount val="9"/>
                <c:pt idx="0">
                  <c:v>100</c:v>
                </c:pt>
                <c:pt idx="1">
                  <c:v>94.449628827091544</c:v>
                </c:pt>
                <c:pt idx="2">
                  <c:v>99.827814469578698</c:v>
                </c:pt>
                <c:pt idx="3">
                  <c:v>105.2840230288628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E66B-4D2C-A57C-27B06A495EBC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E66B-4D2C-A57C-27B06A495EBC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E66B-4D2C-A57C-27B06A495EBC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E66B-4D2C-A57C-27B06A495EBC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E66B-4D2C-A57C-27B06A495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KJØL'!$B$10:$J$10</c:f>
              <c:numCache>
                <c:formatCode>0.00</c:formatCode>
                <c:ptCount val="9"/>
                <c:pt idx="0">
                  <c:v>18.127400000000002</c:v>
                </c:pt>
                <c:pt idx="1">
                  <c:v>16.167899999999999</c:v>
                </c:pt>
                <c:pt idx="2">
                  <c:v>16.4084</c:v>
                </c:pt>
                <c:pt idx="3">
                  <c:v>16.557500000000001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D2-45BF-8D96-FB187A5B642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KJØL'!$B$11:$J$11</c:f>
              <c:numCache>
                <c:formatCode>0.00</c:formatCode>
                <c:ptCount val="9"/>
                <c:pt idx="0">
                  <c:v>139.70500000000001</c:v>
                </c:pt>
                <c:pt idx="1">
                  <c:v>151.63999999999999</c:v>
                </c:pt>
                <c:pt idx="2">
                  <c:v>150.416</c:v>
                </c:pt>
                <c:pt idx="3">
                  <c:v>125.706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D2-45BF-8D96-FB187A5B642C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KJØL'!$B$12:$J$12</c:f>
              <c:numCache>
                <c:formatCode>0.00</c:formatCode>
                <c:ptCount val="9"/>
                <c:pt idx="0">
                  <c:v>25.634</c:v>
                </c:pt>
                <c:pt idx="1">
                  <c:v>24.160499999999999</c:v>
                </c:pt>
                <c:pt idx="2">
                  <c:v>24.651</c:v>
                </c:pt>
                <c:pt idx="3">
                  <c:v>25.634499999999999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D2-45BF-8D96-FB187A5B642C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KJØL'!$B$13:$J$13</c:f>
              <c:numCache>
                <c:formatCode>0.00</c:formatCode>
                <c:ptCount val="9"/>
                <c:pt idx="0">
                  <c:v>271.40800000000002</c:v>
                </c:pt>
                <c:pt idx="1">
                  <c:v>372.47299999999996</c:v>
                </c:pt>
                <c:pt idx="2">
                  <c:v>362.63800000000003</c:v>
                </c:pt>
                <c:pt idx="3">
                  <c:v>344.13099999999997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D2-45BF-8D96-FB187A5B642C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KJØL'!$B$14:$J$14</c:f>
              <c:numCache>
                <c:formatCode>0.00</c:formatCode>
                <c:ptCount val="9"/>
                <c:pt idx="0">
                  <c:v>567.87300000000005</c:v>
                </c:pt>
                <c:pt idx="1">
                  <c:v>491.76850000000002</c:v>
                </c:pt>
                <c:pt idx="2">
                  <c:v>571.726</c:v>
                </c:pt>
                <c:pt idx="3">
                  <c:v>599.57099999999991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D2-45BF-8D96-FB187A5B642C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KJØL'!$B$15:$J$15</c:f>
              <c:numCache>
                <c:formatCode>0.00</c:formatCode>
                <c:ptCount val="9"/>
                <c:pt idx="0">
                  <c:v>24.23</c:v>
                </c:pt>
                <c:pt idx="1">
                  <c:v>24.997500000000002</c:v>
                </c:pt>
                <c:pt idx="2">
                  <c:v>23.933</c:v>
                </c:pt>
                <c:pt idx="3">
                  <c:v>24.512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D2-45BF-8D96-FB187A5B642C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KJØL'!$B$16:$J$16</c:f>
              <c:numCache>
                <c:formatCode>0.00</c:formatCode>
                <c:ptCount val="9"/>
                <c:pt idx="0">
                  <c:v>59.962000000000003</c:v>
                </c:pt>
                <c:pt idx="1">
                  <c:v>60.361000000000004</c:v>
                </c:pt>
                <c:pt idx="2">
                  <c:v>61.764499999999998</c:v>
                </c:pt>
                <c:pt idx="3">
                  <c:v>66.147999999999996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D2-45BF-8D96-FB187A5B642C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KJØL'!$B$17:$J$17</c:f>
              <c:numCache>
                <c:formatCode>0.00</c:formatCode>
                <c:ptCount val="9"/>
                <c:pt idx="0">
                  <c:v>643.28499999999997</c:v>
                </c:pt>
                <c:pt idx="1">
                  <c:v>585.84850000000006</c:v>
                </c:pt>
                <c:pt idx="2">
                  <c:v>616.61500000000001</c:v>
                </c:pt>
                <c:pt idx="3">
                  <c:v>649.80099999999993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5D2-45BF-8D96-FB187A5B642C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KJØL'!$B$18:$J$18</c:f>
              <c:numCache>
                <c:formatCode>0.00</c:formatCode>
                <c:ptCount val="9"/>
                <c:pt idx="0">
                  <c:v>582.56050000000005</c:v>
                </c:pt>
                <c:pt idx="1">
                  <c:v>588.755</c:v>
                </c:pt>
                <c:pt idx="2">
                  <c:v>641.30850000000009</c:v>
                </c:pt>
                <c:pt idx="3">
                  <c:v>590.3415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5D2-45BF-8D96-FB187A5B642C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KJØL'!$B$19:$J$19</c:f>
              <c:numCache>
                <c:formatCode>0.00</c:formatCode>
                <c:ptCount val="9"/>
                <c:pt idx="0">
                  <c:v>11.131</c:v>
                </c:pt>
                <c:pt idx="1">
                  <c:v>10.218</c:v>
                </c:pt>
                <c:pt idx="2">
                  <c:v>11.524000000000001</c:v>
                </c:pt>
                <c:pt idx="3">
                  <c:v>10.412500000000001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5D2-45BF-8D96-FB187A5B642C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KJØL'!$B$20:$J$20</c:f>
              <c:numCache>
                <c:formatCode>0.00</c:formatCode>
                <c:ptCount val="9"/>
                <c:pt idx="0">
                  <c:v>3.8534999999999999</c:v>
                </c:pt>
                <c:pt idx="1">
                  <c:v>3.944</c:v>
                </c:pt>
                <c:pt idx="2">
                  <c:v>3.8025000000000002</c:v>
                </c:pt>
                <c:pt idx="3">
                  <c:v>3.6105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5D2-45BF-8D96-FB187A5B642C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KJØL'!$B$21:$J$21</c:f>
              <c:numCache>
                <c:formatCode>0.00</c:formatCode>
                <c:ptCount val="9"/>
                <c:pt idx="0">
                  <c:v>2.835</c:v>
                </c:pt>
                <c:pt idx="1">
                  <c:v>2.9080000000000004</c:v>
                </c:pt>
                <c:pt idx="2">
                  <c:v>2.6995</c:v>
                </c:pt>
                <c:pt idx="3">
                  <c:v>2.8099999999999996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5D2-45BF-8D96-FB187A5B642C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5D2-45BF-8D96-FB187A5B642C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5D2-45BF-8D96-FB187A5B642C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5D2-45BF-8D96-FB187A5B642C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5D2-45BF-8D96-FB187A5B642C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5D2-45BF-8D96-FB187A5B642C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5D2-45BF-8D96-FB187A5B642C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5D2-45BF-8D96-FB187A5B642C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5D2-45BF-8D96-FB187A5B642C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5D2-45BF-8D96-FB187A5B642C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5D2-45BF-8D96-FB187A5B642C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5D2-45BF-8D96-FB187A5B642C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5D2-45BF-8D96-FB187A5B642C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5D2-45BF-8D96-FB187A5B642C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5D2-45BF-8D96-FB187A5B642C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5D2-45BF-8D96-FB187A5B642C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5D2-45BF-8D96-FB187A5B642C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5D2-45BF-8D96-FB187A5B642C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5D2-45BF-8D96-FB187A5B642C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5D2-45BF-8D96-FB187A5B642C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5D2-45BF-8D96-FB187A5B642C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5D2-45BF-8D96-FB187A5B642C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5D2-45BF-8D96-FB187A5B642C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5D2-45BF-8D96-FB187A5B642C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5D2-45BF-8D96-FB187A5B642C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5D2-45BF-8D96-FB187A5B642C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5D2-45BF-8D96-FB187A5B642C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5D2-45BF-8D96-FB187A5B642C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5D2-45BF-8D96-FB187A5B642C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5D2-45BF-8D96-FB187A5B642C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5D2-45BF-8D96-FB187A5B642C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5D2-45BF-8D96-FB187A5B642C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A5D2-45BF-8D96-FB187A5B642C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A5D2-45BF-8D96-FB187A5B642C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A5D2-45BF-8D96-FB187A5B642C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A5D2-45BF-8D96-FB187A5B642C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A5D2-45BF-8D96-FB187A5B642C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A5D2-45BF-8D96-FB187A5B642C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A5D2-45BF-8D96-FB187A5B6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KJØL'!$B$66:$J$66</c:f>
              <c:numCache>
                <c:formatCode>0.00</c:formatCode>
                <c:ptCount val="9"/>
                <c:pt idx="0">
                  <c:v>100</c:v>
                </c:pt>
                <c:pt idx="1">
                  <c:v>89.190396857795378</c:v>
                </c:pt>
                <c:pt idx="2">
                  <c:v>90.517117733375983</c:v>
                </c:pt>
                <c:pt idx="3">
                  <c:v>91.339629511126802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30-476B-B088-CE1222F7C36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KJØL'!$B$67:$J$67</c:f>
              <c:numCache>
                <c:formatCode>0.00</c:formatCode>
                <c:ptCount val="9"/>
                <c:pt idx="0">
                  <c:v>100</c:v>
                </c:pt>
                <c:pt idx="1">
                  <c:v>108.54300132421888</c:v>
                </c:pt>
                <c:pt idx="2">
                  <c:v>107.66686947496508</c:v>
                </c:pt>
                <c:pt idx="3">
                  <c:v>89.979599871157077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30-476B-B088-CE1222F7C362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KJØL'!$B$68:$J$68</c:f>
              <c:numCache>
                <c:formatCode>0.00</c:formatCode>
                <c:ptCount val="9"/>
                <c:pt idx="0">
                  <c:v>100</c:v>
                </c:pt>
                <c:pt idx="1">
                  <c:v>94.251774986346248</c:v>
                </c:pt>
                <c:pt idx="2">
                  <c:v>96.165249278302255</c:v>
                </c:pt>
                <c:pt idx="3">
                  <c:v>100.00195053444642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30-476B-B088-CE1222F7C362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KJØL'!$B$69:$J$69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30-476B-B088-CE1222F7C362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KJØL'!$B$70:$J$70</c:f>
              <c:numCache>
                <c:formatCode>0.00</c:formatCode>
                <c:ptCount val="9"/>
                <c:pt idx="0">
                  <c:v>100</c:v>
                </c:pt>
                <c:pt idx="1">
                  <c:v>86.598323921017553</c:v>
                </c:pt>
                <c:pt idx="2">
                  <c:v>100.678496776568</c:v>
                </c:pt>
                <c:pt idx="3">
                  <c:v>105.58188186443094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30-476B-B088-CE1222F7C362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KJØL'!$B$71:$J$71</c:f>
              <c:numCache>
                <c:formatCode>0.00</c:formatCode>
                <c:ptCount val="9"/>
                <c:pt idx="0">
                  <c:v>100</c:v>
                </c:pt>
                <c:pt idx="1">
                  <c:v>103.16756087494842</c:v>
                </c:pt>
                <c:pt idx="2">
                  <c:v>98.774246801485759</c:v>
                </c:pt>
                <c:pt idx="3">
                  <c:v>101.16384647131656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30-476B-B088-CE1222F7C362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KJØL'!$B$72:$J$72</c:f>
              <c:numCache>
                <c:formatCode>0.00</c:formatCode>
                <c:ptCount val="9"/>
                <c:pt idx="0">
                  <c:v>100</c:v>
                </c:pt>
                <c:pt idx="1">
                  <c:v>100.66542143357459</c:v>
                </c:pt>
                <c:pt idx="2">
                  <c:v>103.00607051132383</c:v>
                </c:pt>
                <c:pt idx="3">
                  <c:v>110.316533804743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930-476B-B088-CE1222F7C362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KJØL'!$B$73:$J$73</c:f>
              <c:numCache>
                <c:formatCode>0.00</c:formatCode>
                <c:ptCount val="9"/>
                <c:pt idx="0">
                  <c:v>100</c:v>
                </c:pt>
                <c:pt idx="1">
                  <c:v>91.071375828753986</c:v>
                </c:pt>
                <c:pt idx="2">
                  <c:v>95.854092664992976</c:v>
                </c:pt>
                <c:pt idx="3">
                  <c:v>101.01292584157878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930-476B-B088-CE1222F7C362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KJØL'!$B$74:$J$74</c:f>
              <c:numCache>
                <c:formatCode>0.00</c:formatCode>
                <c:ptCount val="9"/>
                <c:pt idx="0">
                  <c:v>100</c:v>
                </c:pt>
                <c:pt idx="1">
                  <c:v>101.06332303683479</c:v>
                </c:pt>
                <c:pt idx="2">
                  <c:v>110.08444616481894</c:v>
                </c:pt>
                <c:pt idx="3">
                  <c:v>101.3356552667062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930-476B-B088-CE1222F7C362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KJØL'!$B$75:$J$75</c:f>
              <c:numCache>
                <c:formatCode>0.00</c:formatCode>
                <c:ptCount val="9"/>
                <c:pt idx="0">
                  <c:v>100</c:v>
                </c:pt>
                <c:pt idx="1">
                  <c:v>91.797682148953371</c:v>
                </c:pt>
                <c:pt idx="2">
                  <c:v>103.53068008265205</c:v>
                </c:pt>
                <c:pt idx="3">
                  <c:v>93.545054352708661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930-476B-B088-CE1222F7C362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KJØL'!$B$76:$J$76</c:f>
              <c:numCache>
                <c:formatCode>0.00</c:formatCode>
                <c:ptCount val="9"/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930-476B-B088-CE1222F7C362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KJØL'!$B$77:$J$77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930-476B-B088-CE1222F7C362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KJØL'!$B$78:$J$78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930-476B-B088-CE1222F7C362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930-476B-B088-CE1222F7C362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930-476B-B088-CE1222F7C362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930-476B-B088-CE1222F7C362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930-476B-B088-CE1222F7C362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930-476B-B088-CE1222F7C362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930-476B-B088-CE1222F7C362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930-476B-B088-CE1222F7C362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930-476B-B088-CE1222F7C362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930-476B-B088-CE1222F7C362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930-476B-B088-CE1222F7C362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930-476B-B088-CE1222F7C362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930-476B-B088-CE1222F7C362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930-476B-B088-CE1222F7C362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930-476B-B088-CE1222F7C362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930-476B-B088-CE1222F7C362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930-476B-B088-CE1222F7C362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930-476B-B088-CE1222F7C362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930-476B-B088-CE1222F7C362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930-476B-B088-CE1222F7C362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930-476B-B088-CE1222F7C362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930-476B-B088-CE1222F7C362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4930-476B-B088-CE1222F7C362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4930-476B-B088-CE1222F7C362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930-476B-B088-CE1222F7C362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4930-476B-B088-CE1222F7C362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4930-476B-B088-CE1222F7C362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930-476B-B088-CE1222F7C362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4930-476B-B088-CE1222F7C362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4930-476B-B088-CE1222F7C362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4930-476B-B088-CE1222F7C362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4930-476B-B088-CE1222F7C362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4930-476B-B088-CE1222F7C362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4930-476B-B088-CE1222F7C362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4930-476B-B088-CE1222F7C362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4930-476B-B088-CE1222F7C362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4930-476B-B088-CE1222F7C362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4930-476B-B088-CE1222F7C362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'Gel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4.5721006599808698</c:v>
                  </c:pt>
                  <c:pt idx="2">
                    <c:v>3.8045233321953607</c:v>
                  </c:pt>
                  <c:pt idx="3">
                    <c:v>4.1302069215643966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'Gel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4.5721006599808698</c:v>
                  </c:pt>
                  <c:pt idx="2">
                    <c:v>3.8045233321953607</c:v>
                  </c:pt>
                  <c:pt idx="3">
                    <c:v>4.1302069215643966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KJØL'!$B$116:$J$116</c:f>
              <c:numCache>
                <c:formatCode>0.00</c:formatCode>
                <c:ptCount val="9"/>
                <c:pt idx="0">
                  <c:v>100</c:v>
                </c:pt>
                <c:pt idx="1">
                  <c:v>96.260984490271483</c:v>
                </c:pt>
                <c:pt idx="2">
                  <c:v>100.69747438760945</c:v>
                </c:pt>
                <c:pt idx="3">
                  <c:v>99.364119724246052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4930-476B-B088-CE1222F7C362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4930-476B-B088-CE1222F7C362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4930-476B-B088-CE1222F7C362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4930-476B-B088-CE1222F7C362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4930-476B-B088-CE1222F7C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KJØL'!$B$10:$J$10</c:f>
              <c:numCache>
                <c:formatCode>0.00</c:formatCode>
                <c:ptCount val="9"/>
                <c:pt idx="0">
                  <c:v>18.126999999999999</c:v>
                </c:pt>
                <c:pt idx="1">
                  <c:v>15.561500000000001</c:v>
                </c:pt>
                <c:pt idx="2">
                  <c:v>16.450099999999999</c:v>
                </c:pt>
                <c:pt idx="3">
                  <c:v>17.307500000000001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4F-4A68-921B-23A3CD96729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KJØL'!$B$11:$J$11</c:f>
              <c:numCache>
                <c:formatCode>0.00</c:formatCode>
                <c:ptCount val="9"/>
                <c:pt idx="0">
                  <c:v>139.70500000000001</c:v>
                </c:pt>
                <c:pt idx="1">
                  <c:v>140.209</c:v>
                </c:pt>
                <c:pt idx="2">
                  <c:v>139.43199999999999</c:v>
                </c:pt>
                <c:pt idx="3">
                  <c:v>128.38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4F-4A68-921B-23A3CD967292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KJØL'!$B$12:$J$12</c:f>
              <c:numCache>
                <c:formatCode>0.00</c:formatCode>
                <c:ptCount val="9"/>
                <c:pt idx="0">
                  <c:v>25.634</c:v>
                </c:pt>
                <c:pt idx="1">
                  <c:v>26.460999999999999</c:v>
                </c:pt>
                <c:pt idx="2">
                  <c:v>27.278500000000001</c:v>
                </c:pt>
                <c:pt idx="3">
                  <c:v>26.169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4F-4A68-921B-23A3CD96729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KJØL'!$B$13:$J$13</c:f>
              <c:numCache>
                <c:formatCode>0.00</c:formatCode>
                <c:ptCount val="9"/>
                <c:pt idx="0">
                  <c:v>271.40800000000002</c:v>
                </c:pt>
                <c:pt idx="1">
                  <c:v>298.01099999999997</c:v>
                </c:pt>
                <c:pt idx="2">
                  <c:v>340.51600000000002</c:v>
                </c:pt>
                <c:pt idx="3">
                  <c:v>330.91949999999997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4F-4A68-921B-23A3CD967292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KJØL'!$B$14:$J$14</c:f>
              <c:numCache>
                <c:formatCode>0.00</c:formatCode>
                <c:ptCount val="9"/>
                <c:pt idx="0">
                  <c:v>567.87300000000005</c:v>
                </c:pt>
                <c:pt idx="1">
                  <c:v>501.96950000000004</c:v>
                </c:pt>
                <c:pt idx="2">
                  <c:v>627.13750000000005</c:v>
                </c:pt>
                <c:pt idx="3">
                  <c:v>592.24800000000005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4F-4A68-921B-23A3CD967292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KJØL'!$B$15:$J$15</c:f>
              <c:numCache>
                <c:formatCode>0.00</c:formatCode>
                <c:ptCount val="9"/>
                <c:pt idx="0">
                  <c:v>24.23</c:v>
                </c:pt>
                <c:pt idx="1">
                  <c:v>22.352499999999999</c:v>
                </c:pt>
                <c:pt idx="2">
                  <c:v>23.349499999999999</c:v>
                </c:pt>
                <c:pt idx="3">
                  <c:v>24.718499999999999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A4F-4A68-921B-23A3CD967292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KJØL'!$B$16:$J$16</c:f>
              <c:numCache>
                <c:formatCode>0.00</c:formatCode>
                <c:ptCount val="9"/>
                <c:pt idx="0">
                  <c:v>59.962000000000003</c:v>
                </c:pt>
                <c:pt idx="1">
                  <c:v>61.382999999999996</c:v>
                </c:pt>
                <c:pt idx="2">
                  <c:v>59.508000000000003</c:v>
                </c:pt>
                <c:pt idx="3">
                  <c:v>59.853999999999999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A4F-4A68-921B-23A3CD967292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KJØL'!$B$17:$J$17</c:f>
              <c:numCache>
                <c:formatCode>0.00</c:formatCode>
                <c:ptCount val="9"/>
                <c:pt idx="0">
                  <c:v>643.28499999999997</c:v>
                </c:pt>
                <c:pt idx="1">
                  <c:v>622.10449999999992</c:v>
                </c:pt>
                <c:pt idx="2">
                  <c:v>622.59</c:v>
                </c:pt>
                <c:pt idx="3">
                  <c:v>668.25800000000004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A4F-4A68-921B-23A3CD967292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KJØL'!$B$18:$J$18</c:f>
              <c:numCache>
                <c:formatCode>0.00</c:formatCode>
                <c:ptCount val="9"/>
                <c:pt idx="0">
                  <c:v>582.56050000000005</c:v>
                </c:pt>
                <c:pt idx="1">
                  <c:v>567.89599999999996</c:v>
                </c:pt>
                <c:pt idx="2">
                  <c:v>563.43499999999995</c:v>
                </c:pt>
                <c:pt idx="3">
                  <c:v>540.14300000000003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A4F-4A68-921B-23A3CD967292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KJØL'!$B$19:$J$19</c:f>
              <c:numCache>
                <c:formatCode>0.00</c:formatCode>
                <c:ptCount val="9"/>
                <c:pt idx="0">
                  <c:v>11.131</c:v>
                </c:pt>
                <c:pt idx="1">
                  <c:v>10.7445</c:v>
                </c:pt>
                <c:pt idx="2">
                  <c:v>11.118</c:v>
                </c:pt>
                <c:pt idx="3">
                  <c:v>12.693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A4F-4A68-921B-23A3CD967292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KJØL'!$B$20:$J$20</c:f>
              <c:numCache>
                <c:formatCode>0.00</c:formatCode>
                <c:ptCount val="9"/>
                <c:pt idx="0">
                  <c:v>3.8534999999999999</c:v>
                </c:pt>
                <c:pt idx="1">
                  <c:v>3.7290000000000001</c:v>
                </c:pt>
                <c:pt idx="2">
                  <c:v>3.6550000000000002</c:v>
                </c:pt>
                <c:pt idx="3">
                  <c:v>3.6524999999999999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A4F-4A68-921B-23A3CD967292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KJØL'!$B$21:$J$21</c:f>
              <c:numCache>
                <c:formatCode>0.00</c:formatCode>
                <c:ptCount val="9"/>
                <c:pt idx="0">
                  <c:v>2.835</c:v>
                </c:pt>
                <c:pt idx="1">
                  <c:v>2.7934999999999999</c:v>
                </c:pt>
                <c:pt idx="2">
                  <c:v>2.9089999999999998</c:v>
                </c:pt>
                <c:pt idx="3">
                  <c:v>2.4535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A4F-4A68-921B-23A3CD967292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A4F-4A68-921B-23A3CD967292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A4F-4A68-921B-23A3CD967292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A4F-4A68-921B-23A3CD967292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A4F-4A68-921B-23A3CD967292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A4F-4A68-921B-23A3CD967292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A4F-4A68-921B-23A3CD967292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A4F-4A68-921B-23A3CD967292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A4F-4A68-921B-23A3CD967292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A4F-4A68-921B-23A3CD967292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A4F-4A68-921B-23A3CD967292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A4F-4A68-921B-23A3CD967292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A4F-4A68-921B-23A3CD967292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A4F-4A68-921B-23A3CD967292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A4F-4A68-921B-23A3CD967292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A4F-4A68-921B-23A3CD967292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A4F-4A68-921B-23A3CD967292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A4F-4A68-921B-23A3CD967292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A4F-4A68-921B-23A3CD967292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A4F-4A68-921B-23A3CD967292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A4F-4A68-921B-23A3CD967292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A4F-4A68-921B-23A3CD967292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A4F-4A68-921B-23A3CD967292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6A4F-4A68-921B-23A3CD967292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A4F-4A68-921B-23A3CD967292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A4F-4A68-921B-23A3CD967292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6A4F-4A68-921B-23A3CD967292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6A4F-4A68-921B-23A3CD967292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6A4F-4A68-921B-23A3CD967292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6A4F-4A68-921B-23A3CD967292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6A4F-4A68-921B-23A3CD967292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6A4F-4A68-921B-23A3CD967292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6A4F-4A68-921B-23A3CD967292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6A4F-4A68-921B-23A3CD967292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A4F-4A68-921B-23A3CD967292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6A4F-4A68-921B-23A3CD967292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6A4F-4A68-921B-23A3CD967292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6A4F-4A68-921B-23A3CD967292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A4F-4A68-921B-23A3CD967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KJØL'!$B$66:$J$66</c:f>
              <c:numCache>
                <c:formatCode>0.00</c:formatCode>
                <c:ptCount val="9"/>
                <c:pt idx="0">
                  <c:v>100</c:v>
                </c:pt>
                <c:pt idx="1">
                  <c:v>85.847078943013187</c:v>
                </c:pt>
                <c:pt idx="2">
                  <c:v>90.749158713521268</c:v>
                </c:pt>
                <c:pt idx="3">
                  <c:v>95.479119545429484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65-45F1-8F32-F2AADD2A2FA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KJØL'!$B$67:$J$67</c:f>
              <c:numCache>
                <c:formatCode>0.00</c:formatCode>
                <c:ptCount val="9"/>
                <c:pt idx="0">
                  <c:v>100</c:v>
                </c:pt>
                <c:pt idx="1">
                  <c:v>100.36076017322213</c:v>
                </c:pt>
                <c:pt idx="2">
                  <c:v>99.804588239504653</c:v>
                </c:pt>
                <c:pt idx="3">
                  <c:v>91.893633012419016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65-45F1-8F32-F2AADD2A2FAE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KJØL'!$B$68:$J$68</c:f>
              <c:numCache>
                <c:formatCode>0.00</c:formatCode>
                <c:ptCount val="9"/>
                <c:pt idx="0">
                  <c:v>100</c:v>
                </c:pt>
                <c:pt idx="1">
                  <c:v>103.226183974409</c:v>
                </c:pt>
                <c:pt idx="2">
                  <c:v>106.41530779433566</c:v>
                </c:pt>
                <c:pt idx="3">
                  <c:v>102.08707185768901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65-45F1-8F32-F2AADD2A2FAE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KJØL'!$B$69:$J$69</c:f>
              <c:numCache>
                <c:formatCode>0.00</c:formatCode>
                <c:ptCount val="9"/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65-45F1-8F32-F2AADD2A2FAE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KJØL'!$B$70:$J$70</c:f>
              <c:numCache>
                <c:formatCode>0.00</c:formatCode>
                <c:ptCount val="9"/>
                <c:pt idx="0">
                  <c:v>100</c:v>
                </c:pt>
                <c:pt idx="1">
                  <c:v>88.394676274448685</c:v>
                </c:pt>
                <c:pt idx="2">
                  <c:v>110.43622429662969</c:v>
                </c:pt>
                <c:pt idx="3">
                  <c:v>104.29233296881522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65-45F1-8F32-F2AADD2A2FAE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KJØL'!$B$71:$J$71</c:f>
              <c:numCache>
                <c:formatCode>0.00</c:formatCode>
                <c:ptCount val="9"/>
                <c:pt idx="0">
                  <c:v>100</c:v>
                </c:pt>
                <c:pt idx="1">
                  <c:v>92.25134131242261</c:v>
                </c:pt>
                <c:pt idx="2">
                  <c:v>96.366075113495668</c:v>
                </c:pt>
                <c:pt idx="3">
                  <c:v>102.0160957490714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F65-45F1-8F32-F2AADD2A2FAE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KJØL'!$B$72:$J$72</c:f>
              <c:numCache>
                <c:formatCode>0.00</c:formatCode>
                <c:ptCount val="9"/>
                <c:pt idx="0">
                  <c:v>100</c:v>
                </c:pt>
                <c:pt idx="1">
                  <c:v>102.3698342283446</c:v>
                </c:pt>
                <c:pt idx="2">
                  <c:v>99.242853807411365</c:v>
                </c:pt>
                <c:pt idx="3">
                  <c:v>99.819885927754243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F65-45F1-8F32-F2AADD2A2FAE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KJØL'!$B$73:$J$73</c:f>
              <c:numCache>
                <c:formatCode>0.00</c:formatCode>
                <c:ptCount val="9"/>
                <c:pt idx="0">
                  <c:v>100</c:v>
                </c:pt>
                <c:pt idx="1">
                  <c:v>96.707446932541558</c:v>
                </c:pt>
                <c:pt idx="2">
                  <c:v>96.782918923960608</c:v>
                </c:pt>
                <c:pt idx="3">
                  <c:v>103.88210513225089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F65-45F1-8F32-F2AADD2A2FAE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KJØL'!$B$74:$J$74</c:f>
              <c:numCache>
                <c:formatCode>0.00</c:formatCode>
                <c:ptCount val="9"/>
                <c:pt idx="0">
                  <c:v>100</c:v>
                </c:pt>
                <c:pt idx="1">
                  <c:v>97.482750718594886</c:v>
                </c:pt>
                <c:pt idx="2">
                  <c:v>96.716993342322368</c:v>
                </c:pt>
                <c:pt idx="3">
                  <c:v>92.718781997749588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F65-45F1-8F32-F2AADD2A2FAE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KJØL'!$B$75:$J$75</c:f>
              <c:numCache>
                <c:formatCode>0.00</c:formatCode>
                <c:ptCount val="9"/>
                <c:pt idx="0">
                  <c:v>100</c:v>
                </c:pt>
                <c:pt idx="1">
                  <c:v>96.527715389452879</c:v>
                </c:pt>
                <c:pt idx="2">
                  <c:v>99.883209055790132</c:v>
                </c:pt>
                <c:pt idx="3">
                  <c:v>114.03288114275448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F65-45F1-8F32-F2AADD2A2FAE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KJØL'!$B$76:$J$76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F65-45F1-8F32-F2AADD2A2FAE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KJØL'!$B$77:$J$77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F65-45F1-8F32-F2AADD2A2FAE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KJØL'!$B$78:$J$78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F65-45F1-8F32-F2AADD2A2FAE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F65-45F1-8F32-F2AADD2A2FAE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F65-45F1-8F32-F2AADD2A2FAE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F65-45F1-8F32-F2AADD2A2FAE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F65-45F1-8F32-F2AADD2A2FAE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F65-45F1-8F32-F2AADD2A2FAE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F65-45F1-8F32-F2AADD2A2FAE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F65-45F1-8F32-F2AADD2A2FAE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F65-45F1-8F32-F2AADD2A2FAE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F65-45F1-8F32-F2AADD2A2FAE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F65-45F1-8F32-F2AADD2A2FAE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F65-45F1-8F32-F2AADD2A2FAE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F65-45F1-8F32-F2AADD2A2FAE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F65-45F1-8F32-F2AADD2A2FAE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F65-45F1-8F32-F2AADD2A2FAE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F65-45F1-8F32-F2AADD2A2FAE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F65-45F1-8F32-F2AADD2A2FAE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F65-45F1-8F32-F2AADD2A2FAE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F65-45F1-8F32-F2AADD2A2FAE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F65-45F1-8F32-F2AADD2A2FAE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F65-45F1-8F32-F2AADD2A2FAE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F65-45F1-8F32-F2AADD2A2FAE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F65-45F1-8F32-F2AADD2A2FAE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F65-45F1-8F32-F2AADD2A2FAE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F65-45F1-8F32-F2AADD2A2FAE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2F65-45F1-8F32-F2AADD2A2FAE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F65-45F1-8F32-F2AADD2A2FAE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F65-45F1-8F32-F2AADD2A2FAE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F65-45F1-8F32-F2AADD2A2FAE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2F65-45F1-8F32-F2AADD2A2FAE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F65-45F1-8F32-F2AADD2A2FAE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2F65-45F1-8F32-F2AADD2A2FAE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F65-45F1-8F32-F2AADD2A2FAE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2F65-45F1-8F32-F2AADD2A2FAE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2F65-45F1-8F32-F2AADD2A2FAE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F65-45F1-8F32-F2AADD2A2FAE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2F65-45F1-8F32-F2AADD2A2FAE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2F65-45F1-8F32-F2AADD2A2FAE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'Fraskilt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3.7299567042661645</c:v>
                  </c:pt>
                  <c:pt idx="2">
                    <c:v>3.595427625012193</c:v>
                  </c:pt>
                  <c:pt idx="3">
                    <c:v>4.2366595174515931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'Fraskilt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3.7299567042661645</c:v>
                  </c:pt>
                  <c:pt idx="2">
                    <c:v>3.595427625012193</c:v>
                  </c:pt>
                  <c:pt idx="3">
                    <c:v>4.2366595174515931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KJØL'!$B$116:$J$116</c:f>
              <c:numCache>
                <c:formatCode>0.00</c:formatCode>
                <c:ptCount val="9"/>
                <c:pt idx="0">
                  <c:v>100</c:v>
                </c:pt>
                <c:pt idx="1">
                  <c:v>95.907531994049947</c:v>
                </c:pt>
                <c:pt idx="2">
                  <c:v>99.599703254107936</c:v>
                </c:pt>
                <c:pt idx="3">
                  <c:v>100.6913230371037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2F65-45F1-8F32-F2AADD2A2FAE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2F65-45F1-8F32-F2AADD2A2FAE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2F65-45F1-8F32-F2AADD2A2FAE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2F65-45F1-8F32-F2AADD2A2FAE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2F65-45F1-8F32-F2AADD2A2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106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1068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ihelse.net\Organisasjon\HVNHBEMSDHRM\Reagenser%20og%20forbruksvarer\Pakningsvedlegg\Benkeanalyser\GADAS\GAD%20Ab%20EIA%2024.3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31"/>
  <sheetViews>
    <sheetView zoomScale="70" zoomScaleNormal="70" workbookViewId="0">
      <selection activeCell="I47" sqref="I47"/>
    </sheetView>
  </sheetViews>
  <sheetFormatPr baseColWidth="10" defaultColWidth="11.42578125" defaultRowHeight="12.75" x14ac:dyDescent="0.2"/>
  <cols>
    <col min="1" max="1" width="15.42578125" style="40" customWidth="1"/>
    <col min="2" max="2" width="11.42578125" style="40"/>
    <col min="3" max="3" width="31.42578125" style="40" bestFit="1" customWidth="1"/>
    <col min="4" max="8" width="11.42578125" style="40"/>
    <col min="9" max="9" width="12.42578125" style="40" customWidth="1"/>
    <col min="10" max="16384" width="11.42578125" style="40"/>
  </cols>
  <sheetData>
    <row r="1" spans="1:9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</row>
    <row r="2" spans="1:9" x14ac:dyDescent="0.2">
      <c r="A2" s="40" t="s">
        <v>83</v>
      </c>
      <c r="B2" s="40" t="str">
        <f>hiddenSheet!ekr_doktittel</f>
        <v>Holdbarhetsforsøk GADA</v>
      </c>
      <c r="E2" s="40" t="s">
        <v>93</v>
      </c>
    </row>
    <row r="3" spans="1:9" ht="57" customHeight="1" x14ac:dyDescent="0.6">
      <c r="C3" s="146" t="s">
        <v>44</v>
      </c>
      <c r="D3" s="146"/>
      <c r="E3" s="146"/>
      <c r="F3" s="146"/>
      <c r="G3" s="146"/>
      <c r="H3" s="146"/>
      <c r="I3" s="146"/>
    </row>
    <row r="5" spans="1:9" ht="35.25" x14ac:dyDescent="0.5">
      <c r="C5" s="103" t="s">
        <v>45</v>
      </c>
      <c r="D5" s="103" t="s">
        <v>52</v>
      </c>
      <c r="E5" s="96"/>
      <c r="F5" s="96"/>
    </row>
    <row r="8" spans="1:9" ht="25.5" customHeight="1" x14ac:dyDescent="0.3">
      <c r="C8" s="100" t="s">
        <v>46</v>
      </c>
      <c r="D8" s="147" t="s">
        <v>127</v>
      </c>
      <c r="E8" s="148"/>
      <c r="F8" s="148"/>
      <c r="G8" s="148"/>
      <c r="H8" s="148"/>
      <c r="I8" s="149"/>
    </row>
    <row r="9" spans="1:9" ht="26.25" customHeight="1" x14ac:dyDescent="0.3">
      <c r="C9" s="100" t="s">
        <v>47</v>
      </c>
      <c r="D9" s="147" t="s">
        <v>131</v>
      </c>
      <c r="E9" s="148"/>
      <c r="F9" s="148"/>
      <c r="G9" s="148"/>
      <c r="H9" s="148"/>
      <c r="I9" s="149"/>
    </row>
    <row r="10" spans="1:9" ht="20.25" x14ac:dyDescent="0.3">
      <c r="C10" s="100" t="s">
        <v>48</v>
      </c>
      <c r="D10" s="150" t="s">
        <v>112</v>
      </c>
      <c r="E10" s="151"/>
      <c r="F10" s="151"/>
      <c r="G10" s="151"/>
      <c r="H10" s="151"/>
      <c r="I10" s="152"/>
    </row>
    <row r="11" spans="1:9" ht="14.25" x14ac:dyDescent="0.2">
      <c r="C11" s="126" t="s">
        <v>49</v>
      </c>
      <c r="D11" s="153"/>
      <c r="E11" s="154"/>
      <c r="F11" s="154"/>
      <c r="G11" s="154"/>
      <c r="H11" s="154"/>
      <c r="I11" s="155"/>
    </row>
    <row r="12" spans="1:9" ht="25.5" customHeight="1" x14ac:dyDescent="0.3">
      <c r="C12" s="100" t="s">
        <v>50</v>
      </c>
      <c r="D12" s="147" t="s">
        <v>110</v>
      </c>
      <c r="E12" s="148"/>
      <c r="F12" s="148"/>
      <c r="G12" s="148"/>
      <c r="H12" s="148"/>
      <c r="I12" s="149"/>
    </row>
    <row r="13" spans="1:9" ht="24.75" customHeight="1" x14ac:dyDescent="0.3">
      <c r="C13" s="100" t="s">
        <v>51</v>
      </c>
      <c r="D13" s="147" t="s">
        <v>111</v>
      </c>
      <c r="E13" s="148"/>
      <c r="F13" s="148"/>
      <c r="G13" s="148"/>
      <c r="H13" s="148"/>
      <c r="I13" s="149"/>
    </row>
    <row r="17" spans="3:9" ht="26.25" x14ac:dyDescent="0.4">
      <c r="C17" s="97" t="s">
        <v>97</v>
      </c>
    </row>
    <row r="19" spans="3:9" ht="13.5" thickBot="1" x14ac:dyDescent="0.25"/>
    <row r="20" spans="3:9" ht="81.75" thickBot="1" x14ac:dyDescent="0.25">
      <c r="C20" s="98" t="s">
        <v>98</v>
      </c>
      <c r="D20" s="143" t="s">
        <v>144</v>
      </c>
      <c r="E20" s="144"/>
      <c r="F20" s="144"/>
      <c r="G20" s="144"/>
      <c r="H20" s="144"/>
      <c r="I20" s="145"/>
    </row>
    <row r="21" spans="3:9" ht="41.25" thickBot="1" x14ac:dyDescent="0.25">
      <c r="C21" s="99" t="s">
        <v>99</v>
      </c>
      <c r="D21" s="143" t="s">
        <v>112</v>
      </c>
      <c r="E21" s="144"/>
      <c r="F21" s="144"/>
      <c r="G21" s="144"/>
      <c r="H21" s="144"/>
      <c r="I21" s="145"/>
    </row>
    <row r="22" spans="3:9" ht="41.25" thickBot="1" x14ac:dyDescent="0.25">
      <c r="C22" s="99" t="s">
        <v>100</v>
      </c>
      <c r="D22" s="143" t="s">
        <v>112</v>
      </c>
      <c r="E22" s="144"/>
      <c r="F22" s="144"/>
      <c r="G22" s="144"/>
      <c r="H22" s="144"/>
      <c r="I22" s="145"/>
    </row>
    <row r="23" spans="3:9" ht="21" thickBot="1" x14ac:dyDescent="0.25">
      <c r="C23" s="99" t="s">
        <v>101</v>
      </c>
      <c r="D23" s="143" t="s">
        <v>112</v>
      </c>
      <c r="E23" s="144"/>
      <c r="F23" s="144"/>
      <c r="G23" s="144"/>
      <c r="H23" s="144"/>
      <c r="I23" s="145"/>
    </row>
    <row r="24" spans="3:9" ht="21" thickBot="1" x14ac:dyDescent="0.25">
      <c r="C24" s="99" t="s">
        <v>102</v>
      </c>
      <c r="D24" s="143" t="s">
        <v>112</v>
      </c>
      <c r="E24" s="144"/>
      <c r="F24" s="144"/>
      <c r="G24" s="144"/>
      <c r="H24" s="144"/>
      <c r="I24" s="145"/>
    </row>
    <row r="28" spans="3:9" ht="26.25" x14ac:dyDescent="0.4">
      <c r="C28" s="97" t="s">
        <v>103</v>
      </c>
    </row>
    <row r="29" spans="3:9" x14ac:dyDescent="0.2">
      <c r="C29" s="95" t="s">
        <v>104</v>
      </c>
    </row>
    <row r="31" spans="3:9" x14ac:dyDescent="0.2">
      <c r="C31" s="123" t="s">
        <v>113</v>
      </c>
    </row>
  </sheetData>
  <mergeCells count="11">
    <mergeCell ref="C3:I3"/>
    <mergeCell ref="D9:I9"/>
    <mergeCell ref="D10:I11"/>
    <mergeCell ref="D12:I12"/>
    <mergeCell ref="D13:I13"/>
    <mergeCell ref="D8:I8"/>
    <mergeCell ref="D20:I20"/>
    <mergeCell ref="D21:I21"/>
    <mergeCell ref="D22:I22"/>
    <mergeCell ref="D23:I23"/>
    <mergeCell ref="D24:I24"/>
  </mergeCells>
  <hyperlinks>
    <hyperlink ref="C31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J45"/>
  <sheetViews>
    <sheetView topLeftCell="A16" workbookViewId="0">
      <selection activeCell="B7" sqref="B7"/>
    </sheetView>
  </sheetViews>
  <sheetFormatPr baseColWidth="10" defaultColWidth="11.42578125" defaultRowHeight="12.75" x14ac:dyDescent="0.2"/>
  <cols>
    <col min="1" max="1" width="57.42578125" style="42" customWidth="1"/>
    <col min="2" max="2" width="64.28515625" style="42" customWidth="1"/>
    <col min="3" max="3" width="13" style="42" customWidth="1"/>
    <col min="4" max="4" width="13.28515625" style="42" customWidth="1"/>
    <col min="5" max="5" width="13.42578125" style="42" customWidth="1"/>
    <col min="6" max="6" width="13.5703125" style="42" customWidth="1"/>
    <col min="7" max="11" width="13.7109375" style="42" bestFit="1" customWidth="1"/>
    <col min="12" max="16384" width="11.42578125" style="42"/>
  </cols>
  <sheetData>
    <row r="1" spans="1: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</row>
    <row r="2" spans="1:8" x14ac:dyDescent="0.2">
      <c r="A2" s="40" t="s">
        <v>83</v>
      </c>
      <c r="B2" s="40" t="str">
        <f>hiddenSheet!ekr_doktittel</f>
        <v>Holdbarhetsforsøk GADA</v>
      </c>
      <c r="C2" s="40"/>
      <c r="D2" s="40"/>
      <c r="E2" s="40"/>
      <c r="F2" s="40"/>
      <c r="G2" s="40"/>
      <c r="H2" s="40"/>
    </row>
    <row r="3" spans="1:8" ht="20.25" x14ac:dyDescent="0.3">
      <c r="A3" s="41" t="s">
        <v>43</v>
      </c>
      <c r="B3" s="41"/>
      <c r="C3" s="41"/>
      <c r="D3" s="41"/>
      <c r="E3" s="41"/>
      <c r="F3" s="41"/>
      <c r="G3" s="41"/>
    </row>
    <row r="4" spans="1:8" ht="20.25" x14ac:dyDescent="0.3">
      <c r="A4" s="125" t="s">
        <v>135</v>
      </c>
      <c r="B4" s="41"/>
      <c r="C4" s="41"/>
      <c r="D4" s="41"/>
      <c r="E4" s="41"/>
      <c r="F4" s="41"/>
      <c r="G4" s="41"/>
    </row>
    <row r="5" spans="1:8" ht="20.25" x14ac:dyDescent="0.3">
      <c r="A5" s="41" t="s">
        <v>53</v>
      </c>
      <c r="B5" s="43" t="s">
        <v>110</v>
      </c>
      <c r="C5" s="41"/>
      <c r="D5" s="41"/>
      <c r="E5" s="41"/>
      <c r="F5" s="41"/>
      <c r="G5" s="41"/>
    </row>
    <row r="6" spans="1:8" ht="15" x14ac:dyDescent="0.2">
      <c r="A6" s="44" t="s">
        <v>41</v>
      </c>
      <c r="B6" s="44"/>
      <c r="C6" s="44"/>
      <c r="D6" s="44"/>
      <c r="E6" s="44"/>
      <c r="F6" s="44"/>
      <c r="G6" s="44"/>
    </row>
    <row r="7" spans="1:8" ht="15" x14ac:dyDescent="0.2">
      <c r="A7" s="45" t="s">
        <v>114</v>
      </c>
      <c r="B7" s="46"/>
      <c r="C7" s="46"/>
      <c r="D7" s="46"/>
      <c r="E7" s="46"/>
      <c r="F7" s="46"/>
      <c r="G7" s="46"/>
    </row>
    <row r="8" spans="1:8" ht="15" x14ac:dyDescent="0.2">
      <c r="A8" s="44"/>
      <c r="B8" s="46"/>
      <c r="C8" s="46"/>
      <c r="D8" s="44"/>
      <c r="E8" s="44"/>
      <c r="F8" s="44"/>
      <c r="G8" s="44"/>
    </row>
    <row r="9" spans="1:8" ht="15" x14ac:dyDescent="0.2">
      <c r="A9" s="44" t="s">
        <v>42</v>
      </c>
      <c r="B9" s="46"/>
      <c r="C9" s="46"/>
      <c r="D9" s="46"/>
      <c r="E9" s="46"/>
      <c r="F9" s="46"/>
      <c r="G9" s="46"/>
    </row>
    <row r="10" spans="1:8" ht="15" x14ac:dyDescent="0.2">
      <c r="A10" s="45" t="s">
        <v>126</v>
      </c>
      <c r="B10" s="46"/>
      <c r="C10" s="46"/>
      <c r="D10" s="46"/>
      <c r="E10" s="46"/>
      <c r="F10" s="46"/>
      <c r="G10" s="46"/>
    </row>
    <row r="11" spans="1:8" ht="15" x14ac:dyDescent="0.2">
      <c r="A11" s="44"/>
      <c r="B11" s="46"/>
      <c r="C11" s="46"/>
      <c r="D11" s="46"/>
      <c r="E11" s="44"/>
      <c r="F11" s="44"/>
      <c r="G11" s="44"/>
    </row>
    <row r="12" spans="1:8" ht="15" x14ac:dyDescent="0.2">
      <c r="A12" s="44" t="s">
        <v>88</v>
      </c>
      <c r="B12" s="46"/>
      <c r="C12" s="46"/>
      <c r="D12" s="46"/>
      <c r="E12" s="46"/>
      <c r="F12" s="46"/>
      <c r="G12" s="46"/>
    </row>
    <row r="13" spans="1:8" ht="15" x14ac:dyDescent="0.2">
      <c r="A13" s="157" t="s">
        <v>130</v>
      </c>
      <c r="B13" s="158"/>
      <c r="C13" s="46"/>
      <c r="D13" s="46"/>
      <c r="E13" s="46"/>
      <c r="F13" s="46"/>
      <c r="G13" s="46"/>
    </row>
    <row r="14" spans="1:8" ht="15" x14ac:dyDescent="0.2">
      <c r="A14" s="44"/>
      <c r="B14" s="44"/>
      <c r="C14" s="44"/>
      <c r="D14" s="44"/>
      <c r="E14" s="44"/>
      <c r="F14" s="44"/>
      <c r="G14" s="44"/>
    </row>
    <row r="15" spans="1:8" ht="15" x14ac:dyDescent="0.2">
      <c r="A15" s="44" t="s">
        <v>35</v>
      </c>
      <c r="B15" s="44"/>
      <c r="C15" s="44"/>
      <c r="D15" s="44"/>
      <c r="E15" s="44"/>
      <c r="F15" s="44"/>
      <c r="G15" s="44"/>
    </row>
    <row r="16" spans="1:8" ht="15" x14ac:dyDescent="0.2">
      <c r="A16" s="47" t="s">
        <v>115</v>
      </c>
      <c r="B16" s="48" t="s">
        <v>32</v>
      </c>
      <c r="C16" s="48"/>
      <c r="D16" s="48"/>
      <c r="E16" s="44"/>
      <c r="F16" s="44"/>
      <c r="G16" s="44"/>
    </row>
    <row r="17" spans="1:10" ht="15" x14ac:dyDescent="0.2">
      <c r="A17" s="47"/>
      <c r="B17" s="48" t="s">
        <v>34</v>
      </c>
      <c r="C17" s="49"/>
      <c r="D17" s="50"/>
      <c r="E17" s="44"/>
      <c r="F17" s="44"/>
      <c r="G17" s="46"/>
    </row>
    <row r="18" spans="1:10" ht="15" x14ac:dyDescent="0.2">
      <c r="A18" s="47"/>
      <c r="B18" s="51" t="s">
        <v>33</v>
      </c>
      <c r="C18" s="52"/>
      <c r="D18" s="53"/>
      <c r="E18" s="44"/>
      <c r="F18" s="44"/>
      <c r="G18" s="44"/>
    </row>
    <row r="19" spans="1:10" ht="15" x14ac:dyDescent="0.2">
      <c r="A19" s="44"/>
      <c r="B19" s="44"/>
      <c r="C19" s="44"/>
      <c r="D19" s="44"/>
      <c r="E19" s="44"/>
      <c r="F19" s="44"/>
      <c r="G19" s="44"/>
    </row>
    <row r="20" spans="1:10" ht="15" x14ac:dyDescent="0.2">
      <c r="A20" s="44" t="s">
        <v>37</v>
      </c>
      <c r="B20" s="44"/>
      <c r="C20" s="44"/>
      <c r="D20" s="44"/>
      <c r="E20" s="44"/>
      <c r="F20" s="44"/>
      <c r="G20" s="44"/>
    </row>
    <row r="21" spans="1:10" ht="15" x14ac:dyDescent="0.2">
      <c r="A21" s="47"/>
      <c r="B21" s="48" t="s">
        <v>36</v>
      </c>
      <c r="C21" s="44"/>
      <c r="D21" s="44"/>
      <c r="E21" s="44"/>
      <c r="F21" s="44"/>
      <c r="G21" s="44"/>
    </row>
    <row r="22" spans="1:10" ht="15" x14ac:dyDescent="0.2">
      <c r="A22" s="47"/>
      <c r="B22" s="48" t="s">
        <v>39</v>
      </c>
      <c r="C22" s="44"/>
      <c r="D22" s="44"/>
      <c r="E22" s="44"/>
      <c r="F22" s="44"/>
      <c r="G22" s="44"/>
    </row>
    <row r="23" spans="1:10" ht="15" x14ac:dyDescent="0.2">
      <c r="A23" s="47"/>
      <c r="B23" s="48" t="s">
        <v>38</v>
      </c>
      <c r="C23" s="44"/>
      <c r="D23" s="44"/>
      <c r="E23" s="44"/>
      <c r="F23" s="44"/>
      <c r="G23" s="44"/>
    </row>
    <row r="24" spans="1:10" ht="15" x14ac:dyDescent="0.2">
      <c r="A24" s="47" t="s">
        <v>116</v>
      </c>
      <c r="B24" s="48" t="s">
        <v>40</v>
      </c>
      <c r="C24" s="44"/>
      <c r="D24" s="44"/>
      <c r="E24" s="44"/>
      <c r="F24" s="44"/>
      <c r="G24" s="44"/>
    </row>
    <row r="25" spans="1:10" ht="15" x14ac:dyDescent="0.2">
      <c r="A25" s="44"/>
      <c r="B25" s="44"/>
      <c r="C25" s="44"/>
      <c r="D25" s="44"/>
      <c r="E25" s="44"/>
      <c r="F25" s="44"/>
      <c r="G25" s="44"/>
    </row>
    <row r="26" spans="1:10" ht="15" x14ac:dyDescent="0.2">
      <c r="A26" s="44" t="s">
        <v>54</v>
      </c>
      <c r="B26" s="44"/>
      <c r="C26" s="44"/>
      <c r="D26" s="44"/>
      <c r="E26" s="44"/>
      <c r="F26" s="44"/>
      <c r="G26" s="44"/>
    </row>
    <row r="27" spans="1:10" ht="15.75" x14ac:dyDescent="0.25">
      <c r="A27" s="54" t="s">
        <v>55</v>
      </c>
      <c r="B27" s="48" t="s">
        <v>56</v>
      </c>
      <c r="C27" s="48" t="s">
        <v>57</v>
      </c>
      <c r="D27" s="48" t="s">
        <v>58</v>
      </c>
      <c r="E27" s="48" t="s">
        <v>59</v>
      </c>
      <c r="F27" s="48" t="s">
        <v>60</v>
      </c>
      <c r="G27" s="48" t="s">
        <v>61</v>
      </c>
      <c r="H27" s="48" t="s">
        <v>90</v>
      </c>
      <c r="I27" s="48" t="s">
        <v>91</v>
      </c>
      <c r="J27" s="48" t="s">
        <v>92</v>
      </c>
    </row>
    <row r="28" spans="1:10" ht="15" x14ac:dyDescent="0.2">
      <c r="A28" s="48" t="s">
        <v>89</v>
      </c>
      <c r="B28" s="45" t="s">
        <v>128</v>
      </c>
      <c r="C28" s="45"/>
      <c r="D28" s="45"/>
      <c r="E28" s="45"/>
      <c r="F28" s="45"/>
      <c r="G28" s="45"/>
      <c r="H28" s="45"/>
      <c r="I28" s="45"/>
      <c r="J28" s="45"/>
    </row>
    <row r="29" spans="1:10" ht="15" x14ac:dyDescent="0.2">
      <c r="A29" s="48" t="s">
        <v>62</v>
      </c>
      <c r="B29" s="45" t="s">
        <v>118</v>
      </c>
      <c r="C29" s="45"/>
      <c r="D29" s="45"/>
      <c r="E29" s="45"/>
      <c r="F29" s="45"/>
      <c r="G29" s="45"/>
      <c r="H29" s="45"/>
      <c r="I29" s="45"/>
      <c r="J29" s="45"/>
    </row>
    <row r="30" spans="1:10" ht="15" x14ac:dyDescent="0.2">
      <c r="A30" s="48" t="s">
        <v>63</v>
      </c>
      <c r="B30" s="45" t="s">
        <v>120</v>
      </c>
      <c r="C30" s="45" t="s">
        <v>119</v>
      </c>
      <c r="D30" s="45" t="s">
        <v>121</v>
      </c>
      <c r="E30" s="45" t="s">
        <v>122</v>
      </c>
      <c r="F30" s="45"/>
      <c r="G30" s="45"/>
      <c r="H30" s="45"/>
      <c r="I30" s="45"/>
      <c r="J30" s="45"/>
    </row>
    <row r="31" spans="1:10" ht="15" x14ac:dyDescent="0.2">
      <c r="A31" s="48" t="s">
        <v>64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5.75" x14ac:dyDescent="0.25">
      <c r="A32" s="48" t="s">
        <v>65</v>
      </c>
      <c r="B32" s="124" t="s">
        <v>123</v>
      </c>
      <c r="C32" s="45"/>
      <c r="D32" s="45"/>
      <c r="E32" s="45"/>
      <c r="F32" s="45"/>
      <c r="G32" s="45"/>
      <c r="H32" s="45"/>
      <c r="I32" s="45"/>
      <c r="J32" s="45"/>
    </row>
    <row r="33" spans="1:10" ht="15.75" thickBot="1" x14ac:dyDescent="0.25">
      <c r="A33" s="55" t="s">
        <v>66</v>
      </c>
      <c r="B33" s="124" t="s">
        <v>124</v>
      </c>
      <c r="C33" s="56"/>
      <c r="D33" s="56"/>
      <c r="E33" s="56"/>
      <c r="F33" s="56"/>
      <c r="G33" s="56"/>
      <c r="H33" s="56"/>
      <c r="I33" s="56"/>
      <c r="J33" s="56"/>
    </row>
    <row r="34" spans="1:10" ht="15" x14ac:dyDescent="0.2">
      <c r="A34" s="57" t="s">
        <v>67</v>
      </c>
      <c r="B34" s="58"/>
      <c r="C34" s="58"/>
      <c r="D34" s="58"/>
      <c r="E34" s="58"/>
      <c r="F34" s="58"/>
      <c r="G34" s="59"/>
      <c r="H34" s="59"/>
      <c r="I34" s="59"/>
      <c r="J34" s="59"/>
    </row>
    <row r="35" spans="1:10" ht="15" x14ac:dyDescent="0.2">
      <c r="A35" s="60" t="s">
        <v>68</v>
      </c>
      <c r="B35" s="45">
        <v>2000</v>
      </c>
      <c r="C35" s="45"/>
      <c r="D35" s="45"/>
      <c r="E35" s="45"/>
      <c r="F35" s="45"/>
      <c r="G35" s="61"/>
      <c r="H35" s="61"/>
      <c r="I35" s="61"/>
      <c r="J35" s="61"/>
    </row>
    <row r="36" spans="1:10" ht="15" x14ac:dyDescent="0.2">
      <c r="A36" s="60" t="s">
        <v>69</v>
      </c>
      <c r="B36" s="45">
        <v>20</v>
      </c>
      <c r="C36" s="45"/>
      <c r="D36" s="45"/>
      <c r="E36" s="45"/>
      <c r="F36" s="45"/>
      <c r="G36" s="61"/>
      <c r="H36" s="61"/>
      <c r="I36" s="61"/>
      <c r="J36" s="61"/>
    </row>
    <row r="37" spans="1:10" ht="15.75" thickBot="1" x14ac:dyDescent="0.25">
      <c r="A37" s="62" t="s">
        <v>70</v>
      </c>
      <c r="B37" s="63">
        <v>10</v>
      </c>
      <c r="C37" s="63"/>
      <c r="D37" s="63"/>
      <c r="E37" s="63"/>
      <c r="F37" s="63"/>
      <c r="G37" s="64"/>
      <c r="H37" s="64"/>
      <c r="I37" s="64"/>
      <c r="J37" s="64"/>
    </row>
    <row r="38" spans="1:10" ht="15" x14ac:dyDescent="0.2">
      <c r="A38" s="65" t="s">
        <v>71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18" x14ac:dyDescent="0.2">
      <c r="A39" s="48" t="s">
        <v>72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5" x14ac:dyDescent="0.2">
      <c r="A40" s="48" t="s">
        <v>31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5" x14ac:dyDescent="0.2">
      <c r="A41" s="48" t="s">
        <v>73</v>
      </c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15.75" x14ac:dyDescent="0.25">
      <c r="A42" s="48" t="s">
        <v>74</v>
      </c>
      <c r="B42" s="124" t="s">
        <v>117</v>
      </c>
      <c r="C42" s="124"/>
      <c r="D42" s="124"/>
      <c r="E42" s="124"/>
      <c r="F42" s="124"/>
      <c r="G42" s="45"/>
      <c r="H42" s="45"/>
      <c r="I42" s="45"/>
      <c r="J42" s="45"/>
    </row>
    <row r="43" spans="1:10" ht="15" x14ac:dyDescent="0.2">
      <c r="A43" s="48" t="s">
        <v>75</v>
      </c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5" x14ac:dyDescent="0.2">
      <c r="A44" s="44"/>
      <c r="B44" s="44"/>
      <c r="C44" s="44"/>
      <c r="D44" s="44"/>
      <c r="E44" s="44"/>
      <c r="F44" s="44"/>
      <c r="G44" s="44"/>
    </row>
    <row r="45" spans="1:10" ht="15" x14ac:dyDescent="0.2">
      <c r="A45" s="156" t="s">
        <v>76</v>
      </c>
      <c r="B45" s="156"/>
      <c r="C45" s="156"/>
      <c r="D45" s="156"/>
      <c r="E45" s="156"/>
      <c r="F45" s="156"/>
      <c r="G45" s="156"/>
    </row>
  </sheetData>
  <mergeCells count="2">
    <mergeCell ref="A45:G45"/>
    <mergeCell ref="A13:B1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B14"/>
  <sheetViews>
    <sheetView workbookViewId="0"/>
  </sheetViews>
  <sheetFormatPr baseColWidth="10" defaultRowHeight="12.75" x14ac:dyDescent="0.2"/>
  <sheetData>
    <row r="1" spans="1:2" x14ac:dyDescent="0.2">
      <c r="A1">
        <v>-10</v>
      </c>
      <c r="B1" s="72" t="s">
        <v>82</v>
      </c>
    </row>
    <row r="2" spans="1:2" x14ac:dyDescent="0.2">
      <c r="A2" t="s">
        <v>79</v>
      </c>
      <c r="B2" s="72" t="s">
        <v>108</v>
      </c>
    </row>
    <row r="3" spans="1:2" x14ac:dyDescent="0.2">
      <c r="A3" t="s">
        <v>107</v>
      </c>
      <c r="B3" s="72" t="s">
        <v>106</v>
      </c>
    </row>
    <row r="4" spans="1:2" x14ac:dyDescent="0.2">
      <c r="A4" t="s">
        <v>151</v>
      </c>
      <c r="B4" s="72" t="s">
        <v>147</v>
      </c>
    </row>
    <row r="5" spans="1:2" x14ac:dyDescent="0.2">
      <c r="A5" t="s">
        <v>152</v>
      </c>
      <c r="B5" s="72" t="s">
        <v>96</v>
      </c>
    </row>
    <row r="6" spans="1:2" x14ac:dyDescent="0.2">
      <c r="A6" t="s">
        <v>153</v>
      </c>
      <c r="B6" s="72" t="s">
        <v>109</v>
      </c>
    </row>
    <row r="7" spans="1:2" x14ac:dyDescent="0.2">
      <c r="A7" t="s">
        <v>80</v>
      </c>
      <c r="B7" s="72" t="s">
        <v>146</v>
      </c>
    </row>
    <row r="8" spans="1:2" x14ac:dyDescent="0.2">
      <c r="A8" t="s">
        <v>80</v>
      </c>
    </row>
    <row r="9" spans="1:2" x14ac:dyDescent="0.2">
      <c r="A9" t="s">
        <v>80</v>
      </c>
    </row>
    <row r="10" spans="1:2" x14ac:dyDescent="0.2">
      <c r="A10" t="s">
        <v>80</v>
      </c>
    </row>
    <row r="11" spans="1:2" x14ac:dyDescent="0.2">
      <c r="A11" t="s">
        <v>80</v>
      </c>
    </row>
    <row r="12" spans="1:2" x14ac:dyDescent="0.2">
      <c r="A12">
        <v>0</v>
      </c>
    </row>
    <row r="13" spans="1:2" x14ac:dyDescent="0.2">
      <c r="A13" t="s">
        <v>154</v>
      </c>
    </row>
    <row r="14" spans="1:2" x14ac:dyDescent="0.2">
      <c r="A14">
        <v>2.2000000000000002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E9827"/>
  <sheetViews>
    <sheetView workbookViewId="0">
      <selection activeCell="G31" sqref="G31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1" t="s">
        <v>94</v>
      </c>
      <c r="J1" s="92"/>
      <c r="K1" s="94" t="s">
        <v>105</v>
      </c>
      <c r="L1" s="92"/>
      <c r="M1" s="92"/>
    </row>
    <row r="2" spans="1:18" x14ac:dyDescent="0.2">
      <c r="A2" s="40" t="s">
        <v>83</v>
      </c>
      <c r="B2" s="40" t="str">
        <f>hiddenSheet!ekr_doktittel</f>
        <v>Holdbarhetsforsøk GADA</v>
      </c>
      <c r="C2" s="40"/>
      <c r="D2" s="40"/>
      <c r="E2" s="40"/>
      <c r="F2" s="40"/>
      <c r="G2" s="40"/>
      <c r="H2" s="40"/>
      <c r="I2" s="91" t="s">
        <v>95</v>
      </c>
      <c r="J2" s="92"/>
      <c r="K2" s="93"/>
      <c r="L2" s="101"/>
      <c r="M2" s="101"/>
      <c r="N2" s="102"/>
      <c r="O2" s="102"/>
      <c r="P2" s="102"/>
    </row>
    <row r="3" spans="1:18" ht="23.25" x14ac:dyDescent="0.35">
      <c r="A3" s="9" t="s">
        <v>13</v>
      </c>
      <c r="B3" s="10"/>
      <c r="C3" s="164" t="s">
        <v>125</v>
      </c>
      <c r="D3" s="165"/>
      <c r="E3" s="165"/>
      <c r="F3" s="165"/>
      <c r="G3" s="165"/>
      <c r="H3" s="165"/>
      <c r="I3" s="165"/>
      <c r="J3" s="165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3"/>
      <c r="B7" s="122" t="s">
        <v>0</v>
      </c>
      <c r="C7" s="122" t="s">
        <v>1</v>
      </c>
      <c r="D7" s="122" t="s">
        <v>2</v>
      </c>
      <c r="E7" s="122" t="s">
        <v>3</v>
      </c>
      <c r="F7" s="122" t="s">
        <v>4</v>
      </c>
      <c r="G7" s="122" t="s">
        <v>5</v>
      </c>
      <c r="H7" s="122" t="s">
        <v>6</v>
      </c>
      <c r="I7" s="122" t="s">
        <v>27</v>
      </c>
      <c r="J7" s="122" t="s">
        <v>28</v>
      </c>
      <c r="K7" s="73"/>
      <c r="L7" s="74"/>
      <c r="M7" s="74"/>
      <c r="N7" s="74"/>
      <c r="O7" s="74"/>
      <c r="P7" s="74"/>
      <c r="Q7" s="74"/>
      <c r="R7" s="74"/>
    </row>
    <row r="8" spans="1:18" ht="15.75" thickBot="1" x14ac:dyDescent="0.3">
      <c r="A8" s="75" t="s">
        <v>12</v>
      </c>
      <c r="B8" s="118">
        <v>0</v>
      </c>
      <c r="C8" s="119">
        <v>72</v>
      </c>
      <c r="D8" s="119">
        <v>120</v>
      </c>
      <c r="E8" s="119">
        <v>168</v>
      </c>
      <c r="F8" s="119"/>
      <c r="G8" s="119"/>
      <c r="H8" s="120"/>
      <c r="I8" s="119"/>
      <c r="J8" s="121"/>
      <c r="K8" s="76"/>
      <c r="L8" s="73"/>
      <c r="M8" s="73"/>
      <c r="N8" s="73"/>
      <c r="O8" s="73"/>
      <c r="P8" s="73"/>
      <c r="Q8" s="73"/>
      <c r="R8" s="73"/>
    </row>
    <row r="9" spans="1:18" ht="15.75" thickBot="1" x14ac:dyDescent="0.3">
      <c r="A9" s="77" t="s">
        <v>20</v>
      </c>
      <c r="B9" s="166" t="s">
        <v>21</v>
      </c>
      <c r="C9" s="167"/>
      <c r="D9" s="167"/>
      <c r="E9" s="167"/>
      <c r="F9" s="167"/>
      <c r="G9" s="167"/>
      <c r="H9" s="167"/>
      <c r="I9" s="168"/>
      <c r="J9" s="169"/>
      <c r="K9" s="76"/>
      <c r="L9" s="73"/>
      <c r="M9" s="73"/>
      <c r="N9" s="73"/>
      <c r="O9" s="73"/>
      <c r="P9" s="73"/>
      <c r="Q9" s="73"/>
      <c r="R9" s="73"/>
    </row>
    <row r="10" spans="1:18" ht="15" x14ac:dyDescent="0.25">
      <c r="A10" s="78">
        <v>1</v>
      </c>
      <c r="B10" s="87">
        <v>18.127400000000002</v>
      </c>
      <c r="C10" s="88">
        <v>15.388</v>
      </c>
      <c r="D10" s="88">
        <v>17.172000000000001</v>
      </c>
      <c r="E10" s="88">
        <v>17.79</v>
      </c>
      <c r="F10" s="88"/>
      <c r="G10" s="88"/>
      <c r="H10" s="88"/>
      <c r="I10" s="88"/>
      <c r="J10" s="104"/>
      <c r="K10" s="73"/>
      <c r="L10" s="73"/>
      <c r="M10" s="73"/>
      <c r="N10" s="73"/>
      <c r="O10" s="73"/>
      <c r="P10" s="73"/>
      <c r="Q10" s="73"/>
      <c r="R10" s="73"/>
    </row>
    <row r="11" spans="1:18" ht="15" x14ac:dyDescent="0.25">
      <c r="A11" s="79">
        <v>2</v>
      </c>
      <c r="B11" s="89">
        <v>139.70500000000001</v>
      </c>
      <c r="C11" s="90">
        <v>141.52000000000001</v>
      </c>
      <c r="D11" s="90">
        <v>149.636</v>
      </c>
      <c r="E11" s="90">
        <v>152.45400000000001</v>
      </c>
      <c r="F11" s="90"/>
      <c r="G11" s="90"/>
      <c r="H11" s="90"/>
      <c r="I11" s="90"/>
      <c r="J11" s="105"/>
      <c r="K11" s="73"/>
      <c r="L11" s="73"/>
      <c r="M11" s="73"/>
      <c r="N11" s="73"/>
      <c r="O11" s="73"/>
      <c r="P11" s="73"/>
      <c r="Q11" s="73"/>
      <c r="R11" s="73"/>
    </row>
    <row r="12" spans="1:18" ht="15" x14ac:dyDescent="0.25">
      <c r="A12" s="79">
        <v>3</v>
      </c>
      <c r="B12" s="89">
        <f>(25.489+25.779)/2</f>
        <v>25.634</v>
      </c>
      <c r="C12" s="90">
        <f>(24.073+26.691)/2</f>
        <v>25.381999999999998</v>
      </c>
      <c r="D12" s="90">
        <f>(26.69+26.941)/2</f>
        <v>26.8155</v>
      </c>
      <c r="E12" s="90">
        <f>(25.402+23.537)/2</f>
        <v>24.4695</v>
      </c>
      <c r="F12" s="90"/>
      <c r="G12" s="90"/>
      <c r="H12" s="90"/>
      <c r="I12" s="90"/>
      <c r="J12" s="105"/>
      <c r="K12" s="73"/>
      <c r="L12" s="73"/>
      <c r="M12" s="73"/>
      <c r="N12" s="73"/>
      <c r="O12" s="73"/>
      <c r="P12" s="73"/>
      <c r="Q12" s="73"/>
      <c r="R12" s="73"/>
    </row>
    <row r="13" spans="1:18" ht="15" x14ac:dyDescent="0.25">
      <c r="A13" s="79">
        <v>4</v>
      </c>
      <c r="B13" s="89">
        <f>(253.397+289.419)/2</f>
        <v>271.40800000000002</v>
      </c>
      <c r="C13" s="90">
        <f>(344.794+303.461)/2</f>
        <v>324.1275</v>
      </c>
      <c r="D13" s="90">
        <f>(403.04+317.784)/2</f>
        <v>360.41200000000003</v>
      </c>
      <c r="E13" s="90">
        <f>(448.029+425.792)/2</f>
        <v>436.91049999999996</v>
      </c>
      <c r="F13" s="90"/>
      <c r="G13" s="90"/>
      <c r="H13" s="90"/>
      <c r="I13" s="90"/>
      <c r="J13" s="105"/>
      <c r="K13" s="73"/>
      <c r="L13" s="73"/>
      <c r="M13" s="73"/>
      <c r="N13" s="73"/>
      <c r="O13" s="73"/>
      <c r="P13" s="73"/>
      <c r="Q13" s="73"/>
      <c r="R13" s="73"/>
    </row>
    <row r="14" spans="1:18" ht="15" x14ac:dyDescent="0.25">
      <c r="A14" s="79">
        <v>5</v>
      </c>
      <c r="B14" s="89">
        <f>(591.429+544.317)/2</f>
        <v>567.87300000000005</v>
      </c>
      <c r="C14" s="90">
        <f>(594.347+608.04)/2</f>
        <v>601.19349999999997</v>
      </c>
      <c r="D14" s="90">
        <f>(601.799+537.671)/2</f>
        <v>569.73500000000001</v>
      </c>
      <c r="E14" s="90">
        <f>(702.4+710.136)/2</f>
        <v>706.26800000000003</v>
      </c>
      <c r="F14" s="90"/>
      <c r="G14" s="90"/>
      <c r="H14" s="90"/>
      <c r="I14" s="90"/>
      <c r="J14" s="105"/>
      <c r="K14" s="73"/>
      <c r="L14" s="73"/>
      <c r="M14" s="73"/>
      <c r="N14" s="73"/>
      <c r="O14" s="73"/>
      <c r="P14" s="73"/>
      <c r="Q14" s="73"/>
      <c r="R14" s="73"/>
    </row>
    <row r="15" spans="1:18" ht="15" x14ac:dyDescent="0.25">
      <c r="A15" s="79">
        <v>6</v>
      </c>
      <c r="B15" s="89">
        <f>(24.169+24.291)/2</f>
        <v>24.23</v>
      </c>
      <c r="C15" s="90">
        <f>(25.257+24.003)/2</f>
        <v>24.630000000000003</v>
      </c>
      <c r="D15" s="90">
        <f>(25.395+24.727)/2</f>
        <v>25.061</v>
      </c>
      <c r="E15" s="90">
        <f>(26.104+25.495)/2</f>
        <v>25.799500000000002</v>
      </c>
      <c r="F15" s="90"/>
      <c r="G15" s="90"/>
      <c r="H15" s="90"/>
      <c r="I15" s="90"/>
      <c r="J15" s="105"/>
      <c r="K15" s="73"/>
      <c r="L15" s="73"/>
      <c r="M15" s="73"/>
      <c r="N15" s="73"/>
      <c r="O15" s="73"/>
      <c r="P15" s="73"/>
      <c r="Q15" s="73"/>
      <c r="R15" s="73"/>
    </row>
    <row r="16" spans="1:18" ht="15" x14ac:dyDescent="0.25">
      <c r="A16" s="79">
        <v>7</v>
      </c>
      <c r="B16" s="89">
        <f>(60.905+59.019)/2</f>
        <v>59.962000000000003</v>
      </c>
      <c r="C16" s="90">
        <f>(63.112+65.882)/2</f>
        <v>64.497</v>
      </c>
      <c r="D16" s="90">
        <f>(68.184+67.211)/2</f>
        <v>67.697499999999991</v>
      </c>
      <c r="E16" s="90">
        <f>(67.321+70.761)/2</f>
        <v>69.040999999999997</v>
      </c>
      <c r="F16" s="90"/>
      <c r="G16" s="90"/>
      <c r="H16" s="90"/>
      <c r="I16" s="90"/>
      <c r="J16" s="105"/>
      <c r="K16" s="73"/>
      <c r="L16" s="73"/>
      <c r="M16" s="73"/>
      <c r="N16" s="73"/>
      <c r="O16" s="73"/>
      <c r="P16" s="73"/>
      <c r="Q16" s="73"/>
      <c r="R16" s="73"/>
    </row>
    <row r="17" spans="1:18" ht="15" x14ac:dyDescent="0.25">
      <c r="A17" s="79">
        <v>8</v>
      </c>
      <c r="B17" s="89">
        <f>643.285</f>
        <v>643.28499999999997</v>
      </c>
      <c r="C17" s="90">
        <f>(582.671+527.697)/2</f>
        <v>555.18399999999997</v>
      </c>
      <c r="D17" s="90">
        <f>(619.515+589.441)/2</f>
        <v>604.47800000000007</v>
      </c>
      <c r="E17" s="90">
        <f>(667.117+654.166)/2</f>
        <v>660.64149999999995</v>
      </c>
      <c r="F17" s="90"/>
      <c r="G17" s="90"/>
      <c r="H17" s="90"/>
      <c r="I17" s="90"/>
      <c r="J17" s="105"/>
      <c r="K17" s="73"/>
      <c r="L17" s="73"/>
      <c r="M17" s="73"/>
      <c r="N17" s="73"/>
      <c r="O17" s="73"/>
      <c r="P17" s="73"/>
      <c r="Q17" s="73"/>
      <c r="R17" s="73"/>
    </row>
    <row r="18" spans="1:18" ht="15" x14ac:dyDescent="0.25">
      <c r="A18" s="79">
        <v>9</v>
      </c>
      <c r="B18" s="89">
        <f>(585.088+580.033)/2</f>
        <v>582.56050000000005</v>
      </c>
      <c r="C18" s="90">
        <f>(498.727+575.561)/2</f>
        <v>537.14400000000001</v>
      </c>
      <c r="D18" s="90">
        <f>(569.688+611.885)/2</f>
        <v>590.78649999999993</v>
      </c>
      <c r="E18" s="90">
        <f>(575.219+603.982)/2</f>
        <v>589.60050000000001</v>
      </c>
      <c r="F18" s="90"/>
      <c r="G18" s="90"/>
      <c r="H18" s="90"/>
      <c r="I18" s="90"/>
      <c r="J18" s="105"/>
      <c r="K18" s="73"/>
      <c r="L18" s="73"/>
      <c r="M18" s="73"/>
      <c r="N18" s="73"/>
      <c r="O18" s="73"/>
      <c r="P18" s="73"/>
      <c r="Q18" s="73"/>
      <c r="R18" s="73"/>
    </row>
    <row r="19" spans="1:18" ht="15" x14ac:dyDescent="0.25">
      <c r="A19" s="79">
        <v>10</v>
      </c>
      <c r="B19" s="89">
        <f>(10.88+11.382)/2</f>
        <v>11.131</v>
      </c>
      <c r="C19" s="90">
        <f>(11.752+11.382)/2</f>
        <v>11.567</v>
      </c>
      <c r="D19" s="90">
        <f>(11.035+11.405)/2</f>
        <v>11.219999999999999</v>
      </c>
      <c r="E19" s="90">
        <f>(12.084+11.414)/2</f>
        <v>11.748999999999999</v>
      </c>
      <c r="F19" s="90"/>
      <c r="G19" s="90"/>
      <c r="H19" s="90"/>
      <c r="I19" s="90"/>
      <c r="J19" s="105"/>
      <c r="K19" s="73"/>
      <c r="L19" s="73"/>
      <c r="M19" s="73"/>
      <c r="N19" s="73"/>
      <c r="O19" s="73"/>
      <c r="P19" s="73"/>
      <c r="Q19" s="73"/>
      <c r="R19" s="73"/>
    </row>
    <row r="20" spans="1:18" ht="15" x14ac:dyDescent="0.25">
      <c r="A20" s="79">
        <v>11</v>
      </c>
      <c r="B20" s="89">
        <v>3.8534999999999999</v>
      </c>
      <c r="C20" s="90">
        <v>3.8929999999999998</v>
      </c>
      <c r="D20" s="90">
        <v>3.8879999999999999</v>
      </c>
      <c r="E20" s="90">
        <v>3.8935</v>
      </c>
      <c r="F20" s="90"/>
      <c r="G20" s="90"/>
      <c r="H20" s="90"/>
      <c r="I20" s="90"/>
      <c r="J20" s="105"/>
      <c r="K20" s="73"/>
      <c r="L20" s="73"/>
      <c r="M20" s="73"/>
      <c r="N20" s="73"/>
      <c r="O20" s="73"/>
      <c r="P20" s="73"/>
      <c r="Q20" s="73"/>
      <c r="R20" s="73"/>
    </row>
    <row r="21" spans="1:18" ht="15" x14ac:dyDescent="0.25">
      <c r="A21" s="79">
        <v>12</v>
      </c>
      <c r="B21" s="89">
        <v>2.835</v>
      </c>
      <c r="C21" s="90">
        <v>2.8315000000000001</v>
      </c>
      <c r="D21" s="90">
        <v>2.8505000000000003</v>
      </c>
      <c r="E21" s="90">
        <v>2.9645000000000001</v>
      </c>
      <c r="F21" s="90"/>
      <c r="G21" s="90"/>
      <c r="H21" s="90"/>
      <c r="I21" s="90"/>
      <c r="J21" s="105"/>
      <c r="K21" s="73"/>
      <c r="L21" s="73"/>
      <c r="M21" s="73"/>
      <c r="N21" s="73"/>
      <c r="O21" s="73"/>
      <c r="P21" s="73"/>
      <c r="Q21" s="73"/>
      <c r="R21" s="73"/>
    </row>
    <row r="22" spans="1:18" ht="15" x14ac:dyDescent="0.25">
      <c r="A22" s="79">
        <v>13</v>
      </c>
      <c r="B22" s="89"/>
      <c r="C22" s="90"/>
      <c r="D22" s="90"/>
      <c r="E22" s="90"/>
      <c r="F22" s="90"/>
      <c r="G22" s="90"/>
      <c r="H22" s="90"/>
      <c r="I22" s="90"/>
      <c r="J22" s="105"/>
      <c r="K22" s="73"/>
      <c r="L22" s="73"/>
      <c r="M22" s="73"/>
      <c r="N22" s="73"/>
      <c r="O22" s="73"/>
      <c r="P22" s="73"/>
      <c r="Q22" s="73"/>
      <c r="R22" s="73"/>
    </row>
    <row r="23" spans="1:18" ht="15" x14ac:dyDescent="0.25">
      <c r="A23" s="79">
        <v>14</v>
      </c>
      <c r="B23" s="89"/>
      <c r="C23" s="90"/>
      <c r="D23" s="90"/>
      <c r="E23" s="90"/>
      <c r="F23" s="90"/>
      <c r="G23" s="90"/>
      <c r="H23" s="90"/>
      <c r="I23" s="90"/>
      <c r="J23" s="105"/>
      <c r="K23" s="73"/>
      <c r="L23" s="73"/>
      <c r="M23" s="73"/>
      <c r="N23" s="73"/>
      <c r="O23" s="73"/>
      <c r="P23" s="73"/>
      <c r="Q23" s="73"/>
      <c r="R23" s="73"/>
    </row>
    <row r="24" spans="1:18" ht="15" x14ac:dyDescent="0.25">
      <c r="A24" s="79">
        <v>15</v>
      </c>
      <c r="B24" s="89"/>
      <c r="C24" s="90"/>
      <c r="D24" s="90"/>
      <c r="E24" s="90"/>
      <c r="F24" s="90"/>
      <c r="G24" s="90"/>
      <c r="H24" s="90"/>
      <c r="I24" s="90"/>
      <c r="J24" s="105"/>
      <c r="K24" s="73"/>
      <c r="L24" s="73"/>
      <c r="M24" s="73"/>
      <c r="N24" s="73"/>
      <c r="O24" s="73"/>
      <c r="P24" s="73"/>
      <c r="Q24" s="73"/>
      <c r="R24" s="73"/>
    </row>
    <row r="25" spans="1:18" ht="15" x14ac:dyDescent="0.25">
      <c r="A25" s="79">
        <v>16</v>
      </c>
      <c r="B25" s="106"/>
      <c r="C25" s="107"/>
      <c r="D25" s="107"/>
      <c r="E25" s="107"/>
      <c r="F25" s="107"/>
      <c r="G25" s="108"/>
      <c r="H25" s="108"/>
      <c r="I25" s="108"/>
      <c r="J25" s="105"/>
      <c r="K25" s="73"/>
      <c r="L25" s="73"/>
      <c r="M25" s="73"/>
      <c r="N25" s="73"/>
      <c r="O25" s="73"/>
      <c r="P25" s="73"/>
      <c r="Q25" s="73"/>
      <c r="R25" s="73"/>
    </row>
    <row r="26" spans="1:18" ht="15" x14ac:dyDescent="0.25">
      <c r="A26" s="79">
        <v>17</v>
      </c>
      <c r="B26" s="106"/>
      <c r="C26" s="107"/>
      <c r="D26" s="107"/>
      <c r="E26" s="107"/>
      <c r="F26" s="107"/>
      <c r="G26" s="108"/>
      <c r="H26" s="108"/>
      <c r="I26" s="108"/>
      <c r="J26" s="105"/>
      <c r="K26" s="73"/>
      <c r="L26" s="73"/>
      <c r="M26" s="73"/>
      <c r="N26" s="73"/>
      <c r="O26" s="73"/>
      <c r="P26" s="73"/>
      <c r="Q26" s="73"/>
      <c r="R26" s="73"/>
    </row>
    <row r="27" spans="1:18" ht="15" x14ac:dyDescent="0.25">
      <c r="A27" s="79">
        <v>18</v>
      </c>
      <c r="B27" s="106"/>
      <c r="C27" s="107"/>
      <c r="D27" s="107"/>
      <c r="E27" s="107"/>
      <c r="F27" s="107"/>
      <c r="G27" s="108"/>
      <c r="H27" s="108"/>
      <c r="I27" s="108"/>
      <c r="J27" s="105"/>
      <c r="K27" s="73"/>
      <c r="L27" s="73"/>
      <c r="M27" s="73"/>
      <c r="N27" s="73"/>
      <c r="O27" s="73"/>
      <c r="P27" s="73"/>
      <c r="Q27" s="73"/>
      <c r="R27" s="73"/>
    </row>
    <row r="28" spans="1:18" ht="15" x14ac:dyDescent="0.25">
      <c r="A28" s="79">
        <v>19</v>
      </c>
      <c r="B28" s="106"/>
      <c r="C28" s="107"/>
      <c r="D28" s="107"/>
      <c r="E28" s="107"/>
      <c r="F28" s="107"/>
      <c r="G28" s="108"/>
      <c r="H28" s="108"/>
      <c r="I28" s="108"/>
      <c r="J28" s="105"/>
      <c r="K28" s="73"/>
      <c r="L28" s="73"/>
      <c r="M28" s="73"/>
      <c r="N28" s="73"/>
      <c r="O28" s="73"/>
      <c r="P28" s="73"/>
      <c r="Q28" s="73"/>
      <c r="R28" s="73"/>
    </row>
    <row r="29" spans="1:18" ht="15" x14ac:dyDescent="0.25">
      <c r="A29" s="79">
        <v>20</v>
      </c>
      <c r="B29" s="106"/>
      <c r="C29" s="107"/>
      <c r="D29" s="107"/>
      <c r="E29" s="107"/>
      <c r="F29" s="107"/>
      <c r="G29" s="108"/>
      <c r="H29" s="108"/>
      <c r="I29" s="108"/>
      <c r="J29" s="105"/>
      <c r="K29" s="73"/>
      <c r="L29" s="73"/>
      <c r="M29" s="73"/>
      <c r="N29" s="73"/>
      <c r="O29" s="73"/>
      <c r="P29" s="73"/>
      <c r="Q29" s="73"/>
      <c r="R29" s="73"/>
    </row>
    <row r="30" spans="1:18" ht="15" x14ac:dyDescent="0.25">
      <c r="A30" s="79">
        <v>21</v>
      </c>
      <c r="B30" s="106"/>
      <c r="C30" s="107"/>
      <c r="D30" s="107"/>
      <c r="E30" s="107"/>
      <c r="F30" s="107"/>
      <c r="G30" s="108"/>
      <c r="H30" s="108"/>
      <c r="I30" s="108"/>
      <c r="J30" s="105"/>
      <c r="K30" s="73"/>
      <c r="L30" s="73"/>
      <c r="M30" s="73"/>
      <c r="N30" s="73"/>
      <c r="O30" s="73"/>
      <c r="P30" s="73"/>
      <c r="Q30" s="73"/>
      <c r="R30" s="73"/>
    </row>
    <row r="31" spans="1:18" ht="15" x14ac:dyDescent="0.25">
      <c r="A31" s="79">
        <v>22</v>
      </c>
      <c r="B31" s="106"/>
      <c r="C31" s="107"/>
      <c r="D31" s="107"/>
      <c r="E31" s="107"/>
      <c r="F31" s="107"/>
      <c r="G31" s="108"/>
      <c r="H31" s="108"/>
      <c r="I31" s="108"/>
      <c r="J31" s="105"/>
      <c r="K31" s="80"/>
      <c r="L31" s="80"/>
      <c r="M31" s="80"/>
      <c r="N31" s="80"/>
      <c r="O31" s="80"/>
      <c r="P31" s="80"/>
      <c r="Q31" s="80"/>
      <c r="R31" s="80"/>
    </row>
    <row r="32" spans="1:18" ht="15" x14ac:dyDescent="0.25">
      <c r="A32" s="79">
        <v>23</v>
      </c>
      <c r="B32" s="106"/>
      <c r="C32" s="107"/>
      <c r="D32" s="107"/>
      <c r="E32" s="107"/>
      <c r="F32" s="107"/>
      <c r="G32" s="108"/>
      <c r="H32" s="108"/>
      <c r="I32" s="108"/>
      <c r="J32" s="105"/>
      <c r="K32" s="80"/>
      <c r="L32" s="80"/>
      <c r="M32" s="80"/>
      <c r="N32" s="80"/>
      <c r="O32" s="80"/>
      <c r="P32" s="80"/>
      <c r="Q32" s="80"/>
      <c r="R32" s="80"/>
    </row>
    <row r="33" spans="1:18" ht="15" x14ac:dyDescent="0.25">
      <c r="A33" s="79">
        <v>24</v>
      </c>
      <c r="B33" s="106"/>
      <c r="C33" s="107"/>
      <c r="D33" s="107"/>
      <c r="E33" s="107"/>
      <c r="F33" s="107"/>
      <c r="G33" s="108"/>
      <c r="H33" s="108"/>
      <c r="I33" s="108"/>
      <c r="J33" s="105"/>
      <c r="K33" s="80"/>
      <c r="L33" s="80"/>
      <c r="M33" s="80"/>
      <c r="N33" s="80"/>
      <c r="O33" s="80"/>
      <c r="P33" s="80"/>
      <c r="Q33" s="80"/>
      <c r="R33" s="80"/>
    </row>
    <row r="34" spans="1:18" ht="15" x14ac:dyDescent="0.25">
      <c r="A34" s="79">
        <v>25</v>
      </c>
      <c r="B34" s="109"/>
      <c r="C34" s="110"/>
      <c r="D34" s="110"/>
      <c r="E34" s="110"/>
      <c r="F34" s="110"/>
      <c r="G34" s="108"/>
      <c r="H34" s="108"/>
      <c r="I34" s="108"/>
      <c r="J34" s="111"/>
      <c r="K34" s="80"/>
      <c r="L34" s="80"/>
      <c r="M34" s="80"/>
      <c r="N34" s="80"/>
      <c r="O34" s="80"/>
      <c r="P34" s="80"/>
      <c r="Q34" s="80"/>
      <c r="R34" s="80"/>
    </row>
    <row r="35" spans="1:18" ht="15" x14ac:dyDescent="0.25">
      <c r="A35" s="79">
        <v>26</v>
      </c>
      <c r="B35" s="109"/>
      <c r="C35" s="110"/>
      <c r="D35" s="110"/>
      <c r="E35" s="110"/>
      <c r="F35" s="110"/>
      <c r="G35" s="108"/>
      <c r="H35" s="108"/>
      <c r="I35" s="108"/>
      <c r="J35" s="111"/>
      <c r="K35" s="80"/>
      <c r="L35" s="80"/>
      <c r="M35" s="80"/>
      <c r="N35" s="80"/>
      <c r="O35" s="80"/>
      <c r="P35" s="80"/>
      <c r="Q35" s="80"/>
      <c r="R35" s="80"/>
    </row>
    <row r="36" spans="1:18" ht="15" x14ac:dyDescent="0.25">
      <c r="A36" s="79">
        <v>27</v>
      </c>
      <c r="B36" s="109"/>
      <c r="C36" s="110"/>
      <c r="D36" s="110"/>
      <c r="E36" s="110"/>
      <c r="F36" s="110"/>
      <c r="G36" s="108"/>
      <c r="H36" s="108"/>
      <c r="I36" s="108"/>
      <c r="J36" s="111"/>
      <c r="K36" s="80"/>
      <c r="L36" s="80"/>
      <c r="M36" s="80"/>
      <c r="N36" s="80"/>
      <c r="O36" s="80"/>
      <c r="P36" s="80"/>
      <c r="Q36" s="80"/>
      <c r="R36" s="80"/>
    </row>
    <row r="37" spans="1:18" ht="15" x14ac:dyDescent="0.25">
      <c r="A37" s="79">
        <v>28</v>
      </c>
      <c r="B37" s="109"/>
      <c r="C37" s="110"/>
      <c r="D37" s="110"/>
      <c r="E37" s="110"/>
      <c r="F37" s="110"/>
      <c r="G37" s="108"/>
      <c r="H37" s="108"/>
      <c r="I37" s="108"/>
      <c r="J37" s="111"/>
      <c r="K37" s="80"/>
      <c r="L37" s="80"/>
      <c r="M37" s="80"/>
      <c r="N37" s="80"/>
      <c r="O37" s="80"/>
      <c r="P37" s="80"/>
      <c r="Q37" s="80"/>
      <c r="R37" s="80"/>
    </row>
    <row r="38" spans="1:18" ht="15" x14ac:dyDescent="0.25">
      <c r="A38" s="79">
        <v>29</v>
      </c>
      <c r="B38" s="109"/>
      <c r="C38" s="110"/>
      <c r="D38" s="110"/>
      <c r="E38" s="110"/>
      <c r="F38" s="110"/>
      <c r="G38" s="108"/>
      <c r="H38" s="108"/>
      <c r="I38" s="108"/>
      <c r="J38" s="111"/>
      <c r="K38" s="80"/>
      <c r="L38" s="80"/>
      <c r="M38" s="80"/>
      <c r="N38" s="80"/>
      <c r="O38" s="80"/>
      <c r="P38" s="80"/>
      <c r="Q38" s="80"/>
      <c r="R38" s="80"/>
    </row>
    <row r="39" spans="1:18" ht="15" customHeight="1" x14ac:dyDescent="0.25">
      <c r="A39" s="79">
        <v>30</v>
      </c>
      <c r="B39" s="109"/>
      <c r="C39" s="110"/>
      <c r="D39" s="110"/>
      <c r="E39" s="110"/>
      <c r="F39" s="110"/>
      <c r="G39" s="108"/>
      <c r="H39" s="108"/>
      <c r="I39" s="108"/>
      <c r="J39" s="111"/>
      <c r="K39" s="81"/>
      <c r="L39" s="82"/>
      <c r="M39" s="82"/>
      <c r="N39" s="82"/>
      <c r="O39" s="82"/>
      <c r="P39" s="82"/>
      <c r="Q39" s="82"/>
      <c r="R39" s="82"/>
    </row>
    <row r="40" spans="1:18" ht="15" x14ac:dyDescent="0.25">
      <c r="A40" s="79">
        <v>31</v>
      </c>
      <c r="B40" s="109"/>
      <c r="C40" s="110"/>
      <c r="D40" s="110"/>
      <c r="E40" s="110"/>
      <c r="F40" s="110"/>
      <c r="G40" s="108"/>
      <c r="H40" s="108"/>
      <c r="I40" s="108"/>
      <c r="J40" s="111"/>
      <c r="K40" s="83"/>
      <c r="L40" s="82"/>
      <c r="M40" s="82"/>
      <c r="N40" s="82"/>
      <c r="O40" s="82"/>
      <c r="P40" s="82"/>
      <c r="Q40" s="82"/>
      <c r="R40" s="82"/>
    </row>
    <row r="41" spans="1:18" ht="15" x14ac:dyDescent="0.25">
      <c r="A41" s="79">
        <v>32</v>
      </c>
      <c r="B41" s="109"/>
      <c r="C41" s="110"/>
      <c r="D41" s="110"/>
      <c r="E41" s="110"/>
      <c r="F41" s="110"/>
      <c r="G41" s="108"/>
      <c r="H41" s="108"/>
      <c r="I41" s="108"/>
      <c r="J41" s="111"/>
      <c r="K41" s="83"/>
      <c r="L41" s="82"/>
      <c r="M41" s="82"/>
      <c r="N41" s="82"/>
      <c r="O41" s="82"/>
      <c r="P41" s="82"/>
      <c r="Q41" s="82"/>
      <c r="R41" s="82"/>
    </row>
    <row r="42" spans="1:18" ht="15" x14ac:dyDescent="0.25">
      <c r="A42" s="79">
        <v>33</v>
      </c>
      <c r="B42" s="109"/>
      <c r="C42" s="110"/>
      <c r="D42" s="110"/>
      <c r="E42" s="110"/>
      <c r="F42" s="110"/>
      <c r="G42" s="108"/>
      <c r="H42" s="108"/>
      <c r="I42" s="108"/>
      <c r="J42" s="111"/>
      <c r="K42" s="162" t="s">
        <v>30</v>
      </c>
      <c r="L42" s="163"/>
      <c r="M42" s="163"/>
      <c r="N42" s="163"/>
      <c r="O42" s="163"/>
      <c r="P42" s="163"/>
      <c r="Q42" s="163"/>
      <c r="R42" s="163"/>
    </row>
    <row r="43" spans="1:18" ht="15" x14ac:dyDescent="0.25">
      <c r="A43" s="79">
        <v>34</v>
      </c>
      <c r="B43" s="109"/>
      <c r="C43" s="110"/>
      <c r="D43" s="110"/>
      <c r="E43" s="110"/>
      <c r="F43" s="110"/>
      <c r="G43" s="108"/>
      <c r="H43" s="108"/>
      <c r="I43" s="108"/>
      <c r="J43" s="111"/>
      <c r="K43" s="84"/>
      <c r="L43" s="85"/>
      <c r="M43" s="85"/>
      <c r="N43" s="85"/>
      <c r="O43" s="85"/>
      <c r="P43" s="85"/>
      <c r="Q43" s="85"/>
      <c r="R43" s="85"/>
    </row>
    <row r="44" spans="1:18" ht="15" x14ac:dyDescent="0.25">
      <c r="A44" s="79">
        <v>35</v>
      </c>
      <c r="B44" s="109"/>
      <c r="C44" s="110"/>
      <c r="D44" s="110"/>
      <c r="E44" s="110"/>
      <c r="F44" s="110"/>
      <c r="G44" s="108"/>
      <c r="H44" s="108"/>
      <c r="I44" s="108"/>
      <c r="J44" s="111"/>
      <c r="K44" s="84"/>
      <c r="L44" s="85"/>
      <c r="M44" s="85"/>
      <c r="N44" s="85"/>
      <c r="O44" s="85"/>
      <c r="P44" s="85"/>
      <c r="Q44" s="85"/>
      <c r="R44" s="85"/>
    </row>
    <row r="45" spans="1:18" ht="15" x14ac:dyDescent="0.25">
      <c r="A45" s="79">
        <v>36</v>
      </c>
      <c r="B45" s="109"/>
      <c r="C45" s="110"/>
      <c r="D45" s="110"/>
      <c r="E45" s="110"/>
      <c r="F45" s="110"/>
      <c r="G45" s="108"/>
      <c r="H45" s="108"/>
      <c r="I45" s="108"/>
      <c r="J45" s="111"/>
      <c r="K45" s="84"/>
      <c r="L45" s="85"/>
      <c r="M45" s="85"/>
      <c r="N45" s="85"/>
      <c r="O45" s="85"/>
      <c r="P45" s="85"/>
      <c r="Q45" s="85"/>
      <c r="R45" s="85"/>
    </row>
    <row r="46" spans="1:18" ht="15" x14ac:dyDescent="0.25">
      <c r="A46" s="79">
        <v>37</v>
      </c>
      <c r="B46" s="112"/>
      <c r="C46" s="108"/>
      <c r="D46" s="108"/>
      <c r="E46" s="113"/>
      <c r="F46" s="108"/>
      <c r="G46" s="108"/>
      <c r="H46" s="108"/>
      <c r="I46" s="108"/>
      <c r="J46" s="105"/>
      <c r="K46" s="84"/>
      <c r="L46" s="85"/>
      <c r="M46" s="85"/>
      <c r="N46" s="85"/>
      <c r="O46" s="85"/>
      <c r="P46" s="85"/>
      <c r="Q46" s="85"/>
      <c r="R46" s="85"/>
    </row>
    <row r="47" spans="1:18" ht="15" x14ac:dyDescent="0.25">
      <c r="A47" s="79">
        <v>38</v>
      </c>
      <c r="B47" s="112"/>
      <c r="C47" s="108"/>
      <c r="D47" s="108"/>
      <c r="E47" s="113"/>
      <c r="F47" s="108"/>
      <c r="G47" s="108"/>
      <c r="H47" s="108"/>
      <c r="I47" s="108"/>
      <c r="J47" s="105"/>
      <c r="K47" s="80"/>
      <c r="L47" s="80"/>
      <c r="M47" s="80"/>
      <c r="N47" s="80"/>
      <c r="O47" s="80"/>
      <c r="P47" s="80"/>
      <c r="Q47" s="80"/>
      <c r="R47" s="80"/>
    </row>
    <row r="48" spans="1:18" ht="15" x14ac:dyDescent="0.25">
      <c r="A48" s="79">
        <v>39</v>
      </c>
      <c r="B48" s="112"/>
      <c r="C48" s="108"/>
      <c r="D48" s="108"/>
      <c r="E48" s="113"/>
      <c r="F48" s="108"/>
      <c r="G48" s="108"/>
      <c r="H48" s="108"/>
      <c r="I48" s="108"/>
      <c r="J48" s="111"/>
      <c r="K48" s="80"/>
      <c r="L48" s="80"/>
      <c r="M48" s="80"/>
      <c r="N48" s="80"/>
      <c r="O48" s="80"/>
      <c r="P48" s="80"/>
      <c r="Q48" s="80"/>
      <c r="R48" s="80"/>
    </row>
    <row r="49" spans="1:29" ht="15" x14ac:dyDescent="0.25">
      <c r="A49" s="79">
        <v>40</v>
      </c>
      <c r="B49" s="112"/>
      <c r="C49" s="108"/>
      <c r="D49" s="108"/>
      <c r="E49" s="113"/>
      <c r="F49" s="108"/>
      <c r="G49" s="108"/>
      <c r="H49" s="108"/>
      <c r="I49" s="108"/>
      <c r="J49" s="111"/>
      <c r="K49" s="80"/>
      <c r="L49" s="80"/>
      <c r="M49" s="80"/>
      <c r="N49" s="80"/>
      <c r="O49" s="80"/>
      <c r="P49" s="80"/>
      <c r="Q49" s="80"/>
      <c r="R49" s="80"/>
    </row>
    <row r="50" spans="1:29" ht="15" x14ac:dyDescent="0.25">
      <c r="A50" s="79">
        <v>41</v>
      </c>
      <c r="B50" s="112"/>
      <c r="C50" s="108"/>
      <c r="D50" s="108"/>
      <c r="E50" s="113"/>
      <c r="F50" s="108"/>
      <c r="G50" s="108"/>
      <c r="H50" s="108"/>
      <c r="I50" s="108"/>
      <c r="J50" s="111"/>
      <c r="K50" s="80"/>
      <c r="L50" s="80"/>
      <c r="M50" s="80"/>
      <c r="N50" s="80"/>
      <c r="O50" s="80"/>
      <c r="P50" s="80"/>
      <c r="Q50" s="80"/>
      <c r="R50" s="80"/>
    </row>
    <row r="51" spans="1:29" ht="15" x14ac:dyDescent="0.25">
      <c r="A51" s="79">
        <v>42</v>
      </c>
      <c r="B51" s="112"/>
      <c r="C51" s="108"/>
      <c r="D51" s="108"/>
      <c r="E51" s="113"/>
      <c r="F51" s="108"/>
      <c r="G51" s="108"/>
      <c r="H51" s="108"/>
      <c r="I51" s="108"/>
      <c r="J51" s="111"/>
      <c r="K51" s="80"/>
      <c r="L51" s="80"/>
      <c r="M51" s="80"/>
      <c r="N51" s="80"/>
      <c r="O51" s="80"/>
      <c r="P51" s="80"/>
      <c r="Q51" s="80"/>
      <c r="R51" s="80"/>
    </row>
    <row r="52" spans="1:29" ht="15" x14ac:dyDescent="0.25">
      <c r="A52" s="79">
        <v>43</v>
      </c>
      <c r="B52" s="112"/>
      <c r="C52" s="108"/>
      <c r="D52" s="108"/>
      <c r="E52" s="113"/>
      <c r="F52" s="108"/>
      <c r="G52" s="108"/>
      <c r="H52" s="108"/>
      <c r="I52" s="108"/>
      <c r="J52" s="111"/>
      <c r="K52" s="80"/>
      <c r="L52" s="80"/>
      <c r="M52" s="80"/>
      <c r="N52" s="80"/>
      <c r="O52" s="80"/>
      <c r="P52" s="80"/>
      <c r="Q52" s="80"/>
      <c r="R52" s="80"/>
    </row>
    <row r="53" spans="1:29" ht="15" x14ac:dyDescent="0.25">
      <c r="A53" s="79">
        <v>44</v>
      </c>
      <c r="B53" s="112"/>
      <c r="C53" s="108"/>
      <c r="D53" s="108"/>
      <c r="E53" s="113"/>
      <c r="F53" s="108"/>
      <c r="G53" s="108"/>
      <c r="H53" s="108"/>
      <c r="I53" s="108"/>
      <c r="J53" s="111"/>
      <c r="K53" s="80"/>
      <c r="L53" s="80"/>
      <c r="M53" s="80"/>
      <c r="N53" s="80"/>
      <c r="O53" s="80"/>
      <c r="P53" s="80"/>
      <c r="Q53" s="80"/>
      <c r="R53" s="80"/>
    </row>
    <row r="54" spans="1:29" ht="15" x14ac:dyDescent="0.25">
      <c r="A54" s="79">
        <v>45</v>
      </c>
      <c r="B54" s="112"/>
      <c r="C54" s="108"/>
      <c r="D54" s="108"/>
      <c r="E54" s="113"/>
      <c r="F54" s="108"/>
      <c r="G54" s="108"/>
      <c r="H54" s="108"/>
      <c r="I54" s="108"/>
      <c r="J54" s="111"/>
      <c r="K54" s="80"/>
      <c r="L54" s="80"/>
      <c r="M54" s="80"/>
      <c r="N54" s="80"/>
      <c r="O54" s="80"/>
      <c r="P54" s="80"/>
      <c r="Q54" s="80"/>
      <c r="R54" s="80"/>
    </row>
    <row r="55" spans="1:29" ht="15" x14ac:dyDescent="0.25">
      <c r="A55" s="79">
        <v>46</v>
      </c>
      <c r="B55" s="112"/>
      <c r="C55" s="108"/>
      <c r="D55" s="108"/>
      <c r="E55" s="113"/>
      <c r="F55" s="108"/>
      <c r="G55" s="108"/>
      <c r="H55" s="108"/>
      <c r="I55" s="108"/>
      <c r="J55" s="111"/>
      <c r="K55" s="80"/>
      <c r="L55" s="80"/>
      <c r="M55" s="80"/>
      <c r="N55" s="80"/>
      <c r="O55" s="80"/>
      <c r="P55" s="80"/>
      <c r="Q55" s="80"/>
      <c r="R55" s="80"/>
    </row>
    <row r="56" spans="1:29" ht="15" x14ac:dyDescent="0.25">
      <c r="A56" s="79">
        <v>47</v>
      </c>
      <c r="B56" s="112"/>
      <c r="C56" s="108"/>
      <c r="D56" s="108"/>
      <c r="E56" s="113"/>
      <c r="F56" s="108"/>
      <c r="G56" s="108"/>
      <c r="H56" s="108"/>
      <c r="I56" s="108"/>
      <c r="J56" s="111"/>
      <c r="K56" s="80"/>
      <c r="L56" s="80"/>
      <c r="M56" s="80"/>
      <c r="N56" s="80"/>
      <c r="O56" s="80"/>
      <c r="P56" s="80"/>
      <c r="Q56" s="80"/>
      <c r="R56" s="80"/>
    </row>
    <row r="57" spans="1:29" ht="15" x14ac:dyDescent="0.25">
      <c r="A57" s="79">
        <v>48</v>
      </c>
      <c r="B57" s="112"/>
      <c r="C57" s="108"/>
      <c r="D57" s="108"/>
      <c r="E57" s="113"/>
      <c r="F57" s="108"/>
      <c r="G57" s="108"/>
      <c r="H57" s="108"/>
      <c r="I57" s="108"/>
      <c r="J57" s="111"/>
      <c r="K57" s="80"/>
      <c r="L57" s="80"/>
      <c r="M57" s="80"/>
      <c r="N57" s="80"/>
      <c r="O57" s="80"/>
      <c r="P57" s="80"/>
      <c r="Q57" s="80"/>
      <c r="R57" s="80"/>
    </row>
    <row r="58" spans="1:29" ht="15" x14ac:dyDescent="0.25">
      <c r="A58" s="79">
        <v>49</v>
      </c>
      <c r="B58" s="112"/>
      <c r="C58" s="108"/>
      <c r="D58" s="108"/>
      <c r="E58" s="113"/>
      <c r="F58" s="108"/>
      <c r="G58" s="108"/>
      <c r="H58" s="108"/>
      <c r="I58" s="108"/>
      <c r="J58" s="111"/>
      <c r="K58" s="80"/>
      <c r="L58" s="80"/>
      <c r="M58" s="80"/>
      <c r="N58" s="80"/>
      <c r="O58" s="80"/>
      <c r="P58" s="80"/>
      <c r="Q58" s="80"/>
      <c r="R58" s="80"/>
    </row>
    <row r="59" spans="1:29" ht="15.75" thickBot="1" x14ac:dyDescent="0.3">
      <c r="A59" s="86">
        <v>50</v>
      </c>
      <c r="B59" s="114"/>
      <c r="C59" s="115"/>
      <c r="D59" s="115"/>
      <c r="E59" s="116"/>
      <c r="F59" s="115"/>
      <c r="G59" s="115"/>
      <c r="H59" s="115"/>
      <c r="I59" s="115"/>
      <c r="J59" s="117"/>
      <c r="K59" s="80"/>
      <c r="L59" s="80"/>
      <c r="M59" s="80"/>
      <c r="N59" s="80"/>
      <c r="O59" s="80"/>
      <c r="P59" s="80"/>
      <c r="Q59" s="80"/>
      <c r="R59" s="80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70" t="s">
        <v>26</v>
      </c>
      <c r="C63" s="171"/>
      <c r="D63" s="171"/>
      <c r="E63" s="171"/>
      <c r="F63" s="171"/>
      <c r="G63" s="171"/>
      <c r="H63" s="171"/>
      <c r="I63" s="171"/>
      <c r="J63" s="171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75" si="0">IF((B10&lt;&gt;0)*ISNUMBER(B10),100*(B10/B10),"")</f>
        <v>100</v>
      </c>
      <c r="C66" s="19">
        <f t="shared" ref="C66:C75" si="1">IF((B10&lt;&gt;0)*ISNUMBER(C10),100*(C10/B10),"")</f>
        <v>84.888069993490518</v>
      </c>
      <c r="D66" s="19">
        <f t="shared" ref="D66:D75" si="2">IF((B10&lt;&gt;0)*ISNUMBER(D10),100*(D10/B10),"")</f>
        <v>94.729525469730902</v>
      </c>
      <c r="E66" s="19">
        <f t="shared" ref="E66:E75" si="3">IF((B10&lt;&gt;0)*ISNUMBER(E10),100*(E10/B10),"")</f>
        <v>98.138729216545102</v>
      </c>
      <c r="F66" s="19" t="str">
        <f t="shared" ref="F66:F75" si="4">IF((B10&lt;&gt;0)*ISNUMBER(F10),100*(F10/B10),"")</f>
        <v/>
      </c>
      <c r="G66" s="19" t="str">
        <f t="shared" ref="G66:G75" si="5">IF((B10&lt;&gt;0)*ISNUMBER(G10),100*(G10/B10),"")</f>
        <v/>
      </c>
      <c r="H66" s="19" t="str">
        <f t="shared" ref="H66:H75" si="6">IF((B10&lt;&gt;0)*ISNUMBER(H10),100*(H10/B10),"")</f>
        <v/>
      </c>
      <c r="I66" s="19" t="str">
        <f t="shared" ref="I66:I75" si="7">IF((B10&lt;&gt;0)*ISNUMBER(I10),100*(I10/B10),"")</f>
        <v/>
      </c>
      <c r="J66" s="19" t="str">
        <f t="shared" ref="J66:J7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101.29916609999643</v>
      </c>
      <c r="D67" s="19">
        <f t="shared" si="2"/>
        <v>107.10855015926415</v>
      </c>
      <c r="E67" s="19">
        <f t="shared" si="3"/>
        <v>109.12565763573244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99.016930638995078</v>
      </c>
      <c r="D68" s="19">
        <f t="shared" si="2"/>
        <v>104.60911289693375</v>
      </c>
      <c r="E68" s="19">
        <f t="shared" si="3"/>
        <v>95.45720527424514</v>
      </c>
      <c r="F68" s="19" t="str">
        <f t="shared" si="4"/>
        <v/>
      </c>
      <c r="G68" s="19" t="str">
        <f t="shared" si="5"/>
        <v/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/>
      <c r="C69" s="19"/>
      <c r="D69" s="19"/>
      <c r="E69" s="19"/>
      <c r="F69" s="19"/>
      <c r="G69" s="19" t="str">
        <f t="shared" si="5"/>
        <v/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105.86759715640643</v>
      </c>
      <c r="D70" s="19">
        <f t="shared" si="2"/>
        <v>100.32789021488959</v>
      </c>
      <c r="E70" s="19">
        <f t="shared" si="3"/>
        <v>124.37076599873562</v>
      </c>
      <c r="F70" s="19" t="str">
        <f t="shared" si="4"/>
        <v/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 t="shared" si="0"/>
        <v>100</v>
      </c>
      <c r="C71" s="19">
        <f t="shared" si="1"/>
        <v>101.65084605860504</v>
      </c>
      <c r="D71" s="19">
        <f t="shared" si="2"/>
        <v>103.42963268675196</v>
      </c>
      <c r="E71" s="19">
        <f t="shared" si="3"/>
        <v>106.47750722245151</v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107.56312331143056</v>
      </c>
      <c r="D72" s="19">
        <f t="shared" si="2"/>
        <v>112.90067042460224</v>
      </c>
      <c r="E72" s="19">
        <f t="shared" si="3"/>
        <v>115.14125612888162</v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86.304515106057195</v>
      </c>
      <c r="D73" s="19">
        <f t="shared" si="2"/>
        <v>93.967370605563644</v>
      </c>
      <c r="E73" s="19">
        <f t="shared" si="3"/>
        <v>102.69810426171915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92.203985680457208</v>
      </c>
      <c r="D74" s="19">
        <f t="shared" si="2"/>
        <v>101.41204218274322</v>
      </c>
      <c r="E74" s="19">
        <f t="shared" si="3"/>
        <v>101.20845817730519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103.91698859042313</v>
      </c>
      <c r="D75" s="19">
        <f t="shared" si="2"/>
        <v>100.79956877189828</v>
      </c>
      <c r="E75" s="19">
        <f t="shared" si="3"/>
        <v>105.55206180936123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/>
      <c r="C76" s="19"/>
      <c r="D76" s="19"/>
      <c r="E76" s="19"/>
      <c r="F76" s="19"/>
      <c r="G76" s="19"/>
      <c r="H76" s="19"/>
      <c r="I76" s="19" t="str">
        <f t="shared" ref="I76:I105" si="9">IF((B20&lt;&gt;0)*ISNUMBER(I20),100*(I20/B20),"")</f>
        <v/>
      </c>
      <c r="J76" s="19" t="str">
        <f t="shared" ref="J76:J105" si="10">IF((B20&lt;&gt;0)*ISNUMBER(J20),100*(J20/B20),"")</f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/>
      <c r="C77" s="19"/>
      <c r="D77" s="19"/>
      <c r="E77" s="19"/>
      <c r="F77" s="19"/>
      <c r="G77" s="19" t="str">
        <f t="shared" ref="G77:G105" si="11">IF((B21&lt;&gt;0)*ISNUMBER(G21),100*(G21/B21),"")</f>
        <v/>
      </c>
      <c r="H77" s="19" t="str">
        <f t="shared" ref="H77:H105" si="12">IF((B21&lt;&gt;0)*ISNUMBER(H21),100*(H21/B21),"")</f>
        <v/>
      </c>
      <c r="I77" s="19" t="str">
        <f t="shared" si="9"/>
        <v/>
      </c>
      <c r="J77" s="19" t="str">
        <f t="shared" si="10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/>
      <c r="C78" s="19"/>
      <c r="D78" s="19"/>
      <c r="E78" s="19"/>
      <c r="F78" s="19"/>
      <c r="G78" s="19" t="str">
        <f t="shared" si="11"/>
        <v/>
      </c>
      <c r="H78" s="19" t="str">
        <f t="shared" si="12"/>
        <v/>
      </c>
      <c r="I78" s="19" t="str">
        <f t="shared" si="9"/>
        <v/>
      </c>
      <c r="J78" s="19" t="str">
        <f t="shared" si="10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ref="B79:B105" si="13">IF((B23&lt;&gt;0)*ISNUMBER(B23),100*(B23/B23),"")</f>
        <v/>
      </c>
      <c r="C79" s="19" t="str">
        <f t="shared" ref="C79:C105" si="14">IF((B23&lt;&gt;0)*ISNUMBER(C23),100*(C23/B23),"")</f>
        <v/>
      </c>
      <c r="D79" s="19" t="str">
        <f t="shared" ref="D79:D105" si="15">IF((B23&lt;&gt;0)*ISNUMBER(D23),100*(D23/B23),"")</f>
        <v/>
      </c>
      <c r="E79" s="19" t="str">
        <f t="shared" ref="E79:E105" si="16">IF((B23&lt;&gt;0)*ISNUMBER(E23),100*(E23/B23),"")</f>
        <v/>
      </c>
      <c r="F79" s="19" t="str">
        <f t="shared" ref="F79:F105" si="17">IF((B23&lt;&gt;0)*ISNUMBER(F23),100*(F23/B23),"")</f>
        <v/>
      </c>
      <c r="G79" s="19" t="str">
        <f t="shared" si="11"/>
        <v/>
      </c>
      <c r="H79" s="19" t="str">
        <f t="shared" si="12"/>
        <v/>
      </c>
      <c r="I79" s="19" t="str">
        <f t="shared" si="9"/>
        <v/>
      </c>
      <c r="J79" s="19" t="str">
        <f t="shared" si="10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13"/>
        <v/>
      </c>
      <c r="C80" s="19" t="str">
        <f t="shared" si="14"/>
        <v/>
      </c>
      <c r="D80" s="19" t="str">
        <f t="shared" si="15"/>
        <v/>
      </c>
      <c r="E80" s="19" t="str">
        <f t="shared" si="16"/>
        <v/>
      </c>
      <c r="F80" s="19" t="str">
        <f t="shared" si="17"/>
        <v/>
      </c>
      <c r="G80" s="19" t="str">
        <f t="shared" si="11"/>
        <v/>
      </c>
      <c r="H80" s="19" t="str">
        <f t="shared" si="12"/>
        <v/>
      </c>
      <c r="I80" s="19" t="str">
        <f t="shared" si="9"/>
        <v/>
      </c>
      <c r="J80" s="19" t="str">
        <f t="shared" si="10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13"/>
        <v/>
      </c>
      <c r="C81" s="19" t="str">
        <f t="shared" si="14"/>
        <v/>
      </c>
      <c r="D81" s="19" t="str">
        <f t="shared" si="15"/>
        <v/>
      </c>
      <c r="E81" s="19" t="str">
        <f t="shared" si="16"/>
        <v/>
      </c>
      <c r="F81" s="19" t="str">
        <f t="shared" si="17"/>
        <v/>
      </c>
      <c r="G81" s="19" t="str">
        <f t="shared" si="11"/>
        <v/>
      </c>
      <c r="H81" s="19" t="str">
        <f t="shared" si="12"/>
        <v/>
      </c>
      <c r="I81" s="19" t="str">
        <f t="shared" si="9"/>
        <v/>
      </c>
      <c r="J81" s="19" t="str">
        <f t="shared" si="10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13"/>
        <v/>
      </c>
      <c r="C82" s="19" t="str">
        <f t="shared" si="14"/>
        <v/>
      </c>
      <c r="D82" s="19" t="str">
        <f t="shared" si="15"/>
        <v/>
      </c>
      <c r="E82" s="19" t="str">
        <f t="shared" si="16"/>
        <v/>
      </c>
      <c r="F82" s="19" t="str">
        <f t="shared" si="17"/>
        <v/>
      </c>
      <c r="G82" s="19" t="str">
        <f t="shared" si="11"/>
        <v/>
      </c>
      <c r="H82" s="19" t="str">
        <f t="shared" si="12"/>
        <v/>
      </c>
      <c r="I82" s="19" t="str">
        <f t="shared" si="9"/>
        <v/>
      </c>
      <c r="J82" s="19" t="str">
        <f t="shared" si="10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13"/>
        <v/>
      </c>
      <c r="C83" s="19" t="str">
        <f t="shared" si="14"/>
        <v/>
      </c>
      <c r="D83" s="19" t="str">
        <f t="shared" si="15"/>
        <v/>
      </c>
      <c r="E83" s="19" t="str">
        <f t="shared" si="16"/>
        <v/>
      </c>
      <c r="F83" s="19" t="str">
        <f t="shared" si="17"/>
        <v/>
      </c>
      <c r="G83" s="19" t="str">
        <f t="shared" si="11"/>
        <v/>
      </c>
      <c r="H83" s="19" t="str">
        <f t="shared" si="12"/>
        <v/>
      </c>
      <c r="I83" s="19" t="str">
        <f t="shared" si="9"/>
        <v/>
      </c>
      <c r="J83" s="19" t="str">
        <f t="shared" si="10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13"/>
        <v/>
      </c>
      <c r="C84" s="19" t="str">
        <f t="shared" si="14"/>
        <v/>
      </c>
      <c r="D84" s="19" t="str">
        <f t="shared" si="15"/>
        <v/>
      </c>
      <c r="E84" s="19" t="str">
        <f t="shared" si="16"/>
        <v/>
      </c>
      <c r="F84" s="19" t="str">
        <f t="shared" si="17"/>
        <v/>
      </c>
      <c r="G84" s="19" t="str">
        <f t="shared" si="11"/>
        <v/>
      </c>
      <c r="H84" s="19" t="str">
        <f t="shared" si="12"/>
        <v/>
      </c>
      <c r="I84" s="19" t="str">
        <f t="shared" si="9"/>
        <v/>
      </c>
      <c r="J84" s="19" t="str">
        <f t="shared" si="10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13"/>
        <v/>
      </c>
      <c r="C85" s="19" t="str">
        <f t="shared" si="14"/>
        <v/>
      </c>
      <c r="D85" s="19" t="str">
        <f t="shared" si="15"/>
        <v/>
      </c>
      <c r="E85" s="19" t="str">
        <f t="shared" si="16"/>
        <v/>
      </c>
      <c r="F85" s="19" t="str">
        <f t="shared" si="17"/>
        <v/>
      </c>
      <c r="G85" s="19" t="str">
        <f t="shared" si="11"/>
        <v/>
      </c>
      <c r="H85" s="19" t="str">
        <f t="shared" si="12"/>
        <v/>
      </c>
      <c r="I85" s="19" t="str">
        <f t="shared" si="9"/>
        <v/>
      </c>
      <c r="J85" s="19" t="str">
        <f t="shared" si="10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13"/>
        <v/>
      </c>
      <c r="C86" s="19" t="str">
        <f t="shared" si="14"/>
        <v/>
      </c>
      <c r="D86" s="19" t="str">
        <f t="shared" si="15"/>
        <v/>
      </c>
      <c r="E86" s="19" t="str">
        <f t="shared" si="16"/>
        <v/>
      </c>
      <c r="F86" s="19" t="str">
        <f t="shared" si="17"/>
        <v/>
      </c>
      <c r="G86" s="19" t="str">
        <f t="shared" si="11"/>
        <v/>
      </c>
      <c r="H86" s="19" t="str">
        <f t="shared" si="12"/>
        <v/>
      </c>
      <c r="I86" s="19" t="str">
        <f t="shared" si="9"/>
        <v/>
      </c>
      <c r="J86" s="19" t="str">
        <f t="shared" si="10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13"/>
        <v/>
      </c>
      <c r="C87" s="19" t="str">
        <f t="shared" si="14"/>
        <v/>
      </c>
      <c r="D87" s="19" t="str">
        <f t="shared" si="15"/>
        <v/>
      </c>
      <c r="E87" s="19" t="str">
        <f t="shared" si="16"/>
        <v/>
      </c>
      <c r="F87" s="19" t="str">
        <f t="shared" si="17"/>
        <v/>
      </c>
      <c r="G87" s="19" t="str">
        <f t="shared" si="11"/>
        <v/>
      </c>
      <c r="H87" s="19" t="str">
        <f t="shared" si="12"/>
        <v/>
      </c>
      <c r="I87" s="19" t="str">
        <f t="shared" si="9"/>
        <v/>
      </c>
      <c r="J87" s="19" t="str">
        <f t="shared" si="10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13"/>
        <v/>
      </c>
      <c r="C88" s="19" t="str">
        <f t="shared" si="14"/>
        <v/>
      </c>
      <c r="D88" s="19" t="str">
        <f t="shared" si="15"/>
        <v/>
      </c>
      <c r="E88" s="19" t="str">
        <f t="shared" si="16"/>
        <v/>
      </c>
      <c r="F88" s="19" t="str">
        <f t="shared" si="17"/>
        <v/>
      </c>
      <c r="G88" s="19" t="str">
        <f t="shared" si="11"/>
        <v/>
      </c>
      <c r="H88" s="19" t="str">
        <f t="shared" si="12"/>
        <v/>
      </c>
      <c r="I88" s="19" t="str">
        <f t="shared" si="9"/>
        <v/>
      </c>
      <c r="J88" s="19" t="str">
        <f t="shared" si="10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13"/>
        <v/>
      </c>
      <c r="C89" s="19" t="str">
        <f t="shared" si="14"/>
        <v/>
      </c>
      <c r="D89" s="19" t="str">
        <f t="shared" si="15"/>
        <v/>
      </c>
      <c r="E89" s="19" t="str">
        <f t="shared" si="16"/>
        <v/>
      </c>
      <c r="F89" s="19" t="str">
        <f t="shared" si="17"/>
        <v/>
      </c>
      <c r="G89" s="19" t="str">
        <f t="shared" si="11"/>
        <v/>
      </c>
      <c r="H89" s="19" t="str">
        <f t="shared" si="12"/>
        <v/>
      </c>
      <c r="I89" s="19" t="str">
        <f t="shared" si="9"/>
        <v/>
      </c>
      <c r="J89" s="19" t="str">
        <f t="shared" si="10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13"/>
        <v/>
      </c>
      <c r="C90" s="19" t="str">
        <f t="shared" si="14"/>
        <v/>
      </c>
      <c r="D90" s="19" t="str">
        <f t="shared" si="15"/>
        <v/>
      </c>
      <c r="E90" s="19" t="str">
        <f t="shared" si="16"/>
        <v/>
      </c>
      <c r="F90" s="19" t="str">
        <f t="shared" si="17"/>
        <v/>
      </c>
      <c r="G90" s="19" t="str">
        <f t="shared" si="11"/>
        <v/>
      </c>
      <c r="H90" s="19" t="str">
        <f t="shared" si="12"/>
        <v/>
      </c>
      <c r="I90" s="19" t="str">
        <f t="shared" si="9"/>
        <v/>
      </c>
      <c r="J90" s="19" t="str">
        <f t="shared" si="10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13"/>
        <v/>
      </c>
      <c r="C91" s="19" t="str">
        <f t="shared" si="14"/>
        <v/>
      </c>
      <c r="D91" s="19" t="str">
        <f t="shared" si="15"/>
        <v/>
      </c>
      <c r="E91" s="19" t="str">
        <f t="shared" si="16"/>
        <v/>
      </c>
      <c r="F91" s="19" t="str">
        <f t="shared" si="17"/>
        <v/>
      </c>
      <c r="G91" s="19" t="str">
        <f t="shared" si="11"/>
        <v/>
      </c>
      <c r="H91" s="19" t="str">
        <f t="shared" si="12"/>
        <v/>
      </c>
      <c r="I91" s="19" t="str">
        <f t="shared" si="9"/>
        <v/>
      </c>
      <c r="J91" s="19" t="str">
        <f t="shared" si="10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13"/>
        <v/>
      </c>
      <c r="C92" s="19" t="str">
        <f t="shared" si="14"/>
        <v/>
      </c>
      <c r="D92" s="19" t="str">
        <f t="shared" si="15"/>
        <v/>
      </c>
      <c r="E92" s="19" t="str">
        <f t="shared" si="16"/>
        <v/>
      </c>
      <c r="F92" s="19" t="str">
        <f t="shared" si="17"/>
        <v/>
      </c>
      <c r="G92" s="19" t="str">
        <f t="shared" si="11"/>
        <v/>
      </c>
      <c r="H92" s="19" t="str">
        <f t="shared" si="12"/>
        <v/>
      </c>
      <c r="I92" s="19" t="str">
        <f t="shared" si="9"/>
        <v/>
      </c>
      <c r="J92" s="19" t="str">
        <f t="shared" si="10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13"/>
        <v/>
      </c>
      <c r="C93" s="19" t="str">
        <f t="shared" si="14"/>
        <v/>
      </c>
      <c r="D93" s="19" t="str">
        <f t="shared" si="15"/>
        <v/>
      </c>
      <c r="E93" s="19" t="str">
        <f t="shared" si="16"/>
        <v/>
      </c>
      <c r="F93" s="19" t="str">
        <f t="shared" si="17"/>
        <v/>
      </c>
      <c r="G93" s="19" t="str">
        <f t="shared" si="11"/>
        <v/>
      </c>
      <c r="H93" s="19" t="str">
        <f t="shared" si="12"/>
        <v/>
      </c>
      <c r="I93" s="19" t="str">
        <f t="shared" si="9"/>
        <v/>
      </c>
      <c r="J93" s="19" t="str">
        <f t="shared" si="10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13"/>
        <v/>
      </c>
      <c r="C94" s="19" t="str">
        <f t="shared" si="14"/>
        <v/>
      </c>
      <c r="D94" s="19" t="str">
        <f t="shared" si="15"/>
        <v/>
      </c>
      <c r="E94" s="19" t="str">
        <f t="shared" si="16"/>
        <v/>
      </c>
      <c r="F94" s="19" t="str">
        <f t="shared" si="17"/>
        <v/>
      </c>
      <c r="G94" s="19" t="str">
        <f t="shared" si="11"/>
        <v/>
      </c>
      <c r="H94" s="19" t="str">
        <f t="shared" si="12"/>
        <v/>
      </c>
      <c r="I94" s="19" t="str">
        <f t="shared" si="9"/>
        <v/>
      </c>
      <c r="J94" s="19" t="str">
        <f t="shared" si="10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13"/>
        <v/>
      </c>
      <c r="C95" s="19" t="str">
        <f t="shared" si="14"/>
        <v/>
      </c>
      <c r="D95" s="19" t="str">
        <f t="shared" si="15"/>
        <v/>
      </c>
      <c r="E95" s="19" t="str">
        <f t="shared" si="16"/>
        <v/>
      </c>
      <c r="F95" s="19" t="str">
        <f t="shared" si="17"/>
        <v/>
      </c>
      <c r="G95" s="19" t="str">
        <f t="shared" si="11"/>
        <v/>
      </c>
      <c r="H95" s="19" t="str">
        <f t="shared" si="12"/>
        <v/>
      </c>
      <c r="I95" s="19" t="str">
        <f t="shared" si="9"/>
        <v/>
      </c>
      <c r="J95" s="19" t="str">
        <f t="shared" si="10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13"/>
        <v/>
      </c>
      <c r="C96" s="19" t="str">
        <f t="shared" si="14"/>
        <v/>
      </c>
      <c r="D96" s="19" t="str">
        <f t="shared" si="15"/>
        <v/>
      </c>
      <c r="E96" s="19" t="str">
        <f t="shared" si="16"/>
        <v/>
      </c>
      <c r="F96" s="19" t="str">
        <f t="shared" si="17"/>
        <v/>
      </c>
      <c r="G96" s="19" t="str">
        <f t="shared" si="11"/>
        <v/>
      </c>
      <c r="H96" s="19" t="str">
        <f t="shared" si="12"/>
        <v/>
      </c>
      <c r="I96" s="19" t="str">
        <f t="shared" si="9"/>
        <v/>
      </c>
      <c r="J96" s="19" t="str">
        <f t="shared" si="10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13"/>
        <v/>
      </c>
      <c r="C97" s="19" t="str">
        <f t="shared" si="14"/>
        <v/>
      </c>
      <c r="D97" s="19" t="str">
        <f t="shared" si="15"/>
        <v/>
      </c>
      <c r="E97" s="19" t="str">
        <f t="shared" si="16"/>
        <v/>
      </c>
      <c r="F97" s="19" t="str">
        <f t="shared" si="17"/>
        <v/>
      </c>
      <c r="G97" s="19" t="str">
        <f t="shared" si="11"/>
        <v/>
      </c>
      <c r="H97" s="19" t="str">
        <f t="shared" si="12"/>
        <v/>
      </c>
      <c r="I97" s="19" t="str">
        <f t="shared" si="9"/>
        <v/>
      </c>
      <c r="J97" s="19" t="str">
        <f t="shared" si="10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13"/>
        <v/>
      </c>
      <c r="C98" s="19" t="str">
        <f t="shared" si="14"/>
        <v/>
      </c>
      <c r="D98" s="19" t="str">
        <f t="shared" si="15"/>
        <v/>
      </c>
      <c r="E98" s="19" t="str">
        <f t="shared" si="16"/>
        <v/>
      </c>
      <c r="F98" s="19" t="str">
        <f t="shared" si="17"/>
        <v/>
      </c>
      <c r="G98" s="19" t="str">
        <f t="shared" si="11"/>
        <v/>
      </c>
      <c r="H98" s="19" t="str">
        <f t="shared" si="12"/>
        <v/>
      </c>
      <c r="I98" s="19" t="str">
        <f t="shared" si="9"/>
        <v/>
      </c>
      <c r="J98" s="19" t="str">
        <f t="shared" si="10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13"/>
        <v/>
      </c>
      <c r="C99" s="19" t="str">
        <f t="shared" si="14"/>
        <v/>
      </c>
      <c r="D99" s="19" t="str">
        <f t="shared" si="15"/>
        <v/>
      </c>
      <c r="E99" s="19" t="str">
        <f t="shared" si="16"/>
        <v/>
      </c>
      <c r="F99" s="19" t="str">
        <f t="shared" si="17"/>
        <v/>
      </c>
      <c r="G99" s="19" t="str">
        <f t="shared" si="11"/>
        <v/>
      </c>
      <c r="H99" s="19" t="str">
        <f t="shared" si="12"/>
        <v/>
      </c>
      <c r="I99" s="19" t="str">
        <f t="shared" si="9"/>
        <v/>
      </c>
      <c r="J99" s="19" t="str">
        <f t="shared" si="10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13"/>
        <v/>
      </c>
      <c r="C100" s="19" t="str">
        <f t="shared" si="14"/>
        <v/>
      </c>
      <c r="D100" s="19" t="str">
        <f t="shared" si="15"/>
        <v/>
      </c>
      <c r="E100" s="19" t="str">
        <f t="shared" si="16"/>
        <v/>
      </c>
      <c r="F100" s="19" t="str">
        <f t="shared" si="17"/>
        <v/>
      </c>
      <c r="G100" s="19" t="str">
        <f t="shared" si="11"/>
        <v/>
      </c>
      <c r="H100" s="19" t="str">
        <f t="shared" si="12"/>
        <v/>
      </c>
      <c r="I100" s="19" t="str">
        <f t="shared" si="9"/>
        <v/>
      </c>
      <c r="J100" s="19" t="str">
        <f t="shared" si="10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13"/>
        <v/>
      </c>
      <c r="C101" s="19" t="str">
        <f t="shared" si="14"/>
        <v/>
      </c>
      <c r="D101" s="19" t="str">
        <f t="shared" si="15"/>
        <v/>
      </c>
      <c r="E101" s="19" t="str">
        <f t="shared" si="16"/>
        <v/>
      </c>
      <c r="F101" s="19" t="str">
        <f t="shared" si="17"/>
        <v/>
      </c>
      <c r="G101" s="19" t="str">
        <f t="shared" si="11"/>
        <v/>
      </c>
      <c r="H101" s="19" t="str">
        <f t="shared" si="12"/>
        <v/>
      </c>
      <c r="I101" s="19" t="str">
        <f t="shared" si="9"/>
        <v/>
      </c>
      <c r="J101" s="19" t="str">
        <f t="shared" si="10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13"/>
        <v/>
      </c>
      <c r="C102" s="19" t="str">
        <f t="shared" si="14"/>
        <v/>
      </c>
      <c r="D102" s="19" t="str">
        <f t="shared" si="15"/>
        <v/>
      </c>
      <c r="E102" s="19" t="str">
        <f t="shared" si="16"/>
        <v/>
      </c>
      <c r="F102" s="19" t="str">
        <f t="shared" si="17"/>
        <v/>
      </c>
      <c r="G102" s="19" t="str">
        <f t="shared" si="11"/>
        <v/>
      </c>
      <c r="H102" s="19" t="str">
        <f t="shared" si="12"/>
        <v/>
      </c>
      <c r="I102" s="19" t="str">
        <f t="shared" si="9"/>
        <v/>
      </c>
      <c r="J102" s="19" t="str">
        <f t="shared" si="10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13"/>
        <v/>
      </c>
      <c r="C103" s="19" t="str">
        <f t="shared" si="14"/>
        <v/>
      </c>
      <c r="D103" s="19" t="str">
        <f t="shared" si="15"/>
        <v/>
      </c>
      <c r="E103" s="19" t="str">
        <f t="shared" si="16"/>
        <v/>
      </c>
      <c r="F103" s="19" t="str">
        <f t="shared" si="17"/>
        <v/>
      </c>
      <c r="G103" s="19" t="str">
        <f t="shared" si="11"/>
        <v/>
      </c>
      <c r="H103" s="19" t="str">
        <f t="shared" si="12"/>
        <v/>
      </c>
      <c r="I103" s="19" t="str">
        <f t="shared" si="9"/>
        <v/>
      </c>
      <c r="J103" s="19" t="str">
        <f t="shared" si="10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13"/>
        <v/>
      </c>
      <c r="C104" s="19" t="str">
        <f t="shared" si="14"/>
        <v/>
      </c>
      <c r="D104" s="19" t="str">
        <f t="shared" si="15"/>
        <v/>
      </c>
      <c r="E104" s="19" t="str">
        <f t="shared" si="16"/>
        <v/>
      </c>
      <c r="F104" s="19" t="str">
        <f t="shared" si="17"/>
        <v/>
      </c>
      <c r="G104" s="19" t="str">
        <f t="shared" si="11"/>
        <v/>
      </c>
      <c r="H104" s="19" t="str">
        <f t="shared" si="12"/>
        <v/>
      </c>
      <c r="I104" s="19" t="str">
        <f t="shared" si="9"/>
        <v/>
      </c>
      <c r="J104" s="19" t="str">
        <f t="shared" si="10"/>
        <v/>
      </c>
      <c r="K104" s="159"/>
      <c r="L104" s="160"/>
      <c r="M104" s="160"/>
      <c r="N104" s="160"/>
      <c r="O104" s="160"/>
      <c r="P104" s="160"/>
      <c r="Q104" s="160"/>
      <c r="R104" s="160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13"/>
        <v/>
      </c>
      <c r="C105" s="19" t="str">
        <f t="shared" si="14"/>
        <v/>
      </c>
      <c r="D105" s="19" t="str">
        <f t="shared" si="15"/>
        <v/>
      </c>
      <c r="E105" s="19" t="str">
        <f t="shared" si="16"/>
        <v/>
      </c>
      <c r="F105" s="19" t="str">
        <f t="shared" si="17"/>
        <v/>
      </c>
      <c r="G105" s="19" t="str">
        <f t="shared" si="11"/>
        <v/>
      </c>
      <c r="H105" s="19" t="str">
        <f t="shared" si="12"/>
        <v/>
      </c>
      <c r="I105" s="19" t="str">
        <f t="shared" si="9"/>
        <v/>
      </c>
      <c r="J105" s="19" t="str">
        <f t="shared" si="10"/>
        <v/>
      </c>
      <c r="K105" s="161"/>
      <c r="L105" s="160"/>
      <c r="M105" s="160"/>
      <c r="N105" s="160"/>
      <c r="O105" s="160"/>
      <c r="P105" s="160"/>
      <c r="Q105" s="160"/>
      <c r="R105" s="160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ref="B106:B115" si="18">IF((B50&lt;&gt;0)*ISNUMBER(B50),100*(B50/B50),"")</f>
        <v/>
      </c>
      <c r="C106" s="19" t="str">
        <f t="shared" ref="C106:C115" si="19">IF((B50&lt;&gt;0)*ISNUMBER(C50),100*(C50/B50),"")</f>
        <v/>
      </c>
      <c r="D106" s="19" t="str">
        <f t="shared" ref="D106:D115" si="20">IF((B50&lt;&gt;0)*ISNUMBER(D50),100*(D50/B50),"")</f>
        <v/>
      </c>
      <c r="E106" s="19" t="str">
        <f t="shared" ref="E106:E115" si="21">IF((B50&lt;&gt;0)*ISNUMBER(E50),100*(E50/B50),"")</f>
        <v/>
      </c>
      <c r="F106" s="19" t="str">
        <f t="shared" ref="F106:F115" si="22">IF((B50&lt;&gt;0)*ISNUMBER(F50),100*(F50/B50),"")</f>
        <v/>
      </c>
      <c r="G106" s="19" t="str">
        <f t="shared" ref="G106:G115" si="23">IF((B50&lt;&gt;0)*ISNUMBER(G50),100*(G50/B50),"")</f>
        <v/>
      </c>
      <c r="H106" s="19" t="str">
        <f t="shared" ref="H106:H115" si="24">IF((B50&lt;&gt;0)*ISNUMBER(H50),100*(H50/B50),"")</f>
        <v/>
      </c>
      <c r="I106" s="19" t="str">
        <f t="shared" ref="I106:I115" si="25">IF((B50&lt;&gt;0)*ISNUMBER(I50),100*(I50/B50),"")</f>
        <v/>
      </c>
      <c r="J106" s="19" t="str">
        <f t="shared" ref="J106:J115" si="26">IF((B50&lt;&gt;0)*ISNUMBER(J50),100*(J50/B50),"")</f>
        <v/>
      </c>
      <c r="K106" s="161"/>
      <c r="L106" s="160"/>
      <c r="M106" s="160"/>
      <c r="N106" s="160"/>
      <c r="O106" s="160"/>
      <c r="P106" s="160"/>
      <c r="Q106" s="160"/>
      <c r="R106" s="160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18"/>
        <v/>
      </c>
      <c r="C107" s="19" t="str">
        <f t="shared" si="19"/>
        <v/>
      </c>
      <c r="D107" s="19" t="str">
        <f t="shared" si="20"/>
        <v/>
      </c>
      <c r="E107" s="19" t="str">
        <f t="shared" si="21"/>
        <v/>
      </c>
      <c r="F107" s="19" t="str">
        <f t="shared" si="22"/>
        <v/>
      </c>
      <c r="G107" s="19" t="str">
        <f t="shared" si="23"/>
        <v/>
      </c>
      <c r="H107" s="19" t="str">
        <f t="shared" si="24"/>
        <v/>
      </c>
      <c r="I107" s="19" t="str">
        <f t="shared" si="25"/>
        <v/>
      </c>
      <c r="J107" s="19" t="str">
        <f t="shared" si="26"/>
        <v/>
      </c>
      <c r="K107" s="161"/>
      <c r="L107" s="160"/>
      <c r="M107" s="160"/>
      <c r="N107" s="160"/>
      <c r="O107" s="160"/>
      <c r="P107" s="160"/>
      <c r="Q107" s="160"/>
      <c r="R107" s="160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18"/>
        <v/>
      </c>
      <c r="C108" s="19" t="str">
        <f t="shared" si="19"/>
        <v/>
      </c>
      <c r="D108" s="19" t="str">
        <f t="shared" si="20"/>
        <v/>
      </c>
      <c r="E108" s="19" t="str">
        <f t="shared" si="21"/>
        <v/>
      </c>
      <c r="F108" s="19" t="str">
        <f t="shared" si="22"/>
        <v/>
      </c>
      <c r="G108" s="19" t="str">
        <f t="shared" si="23"/>
        <v/>
      </c>
      <c r="H108" s="19" t="str">
        <f t="shared" si="24"/>
        <v/>
      </c>
      <c r="I108" s="19" t="str">
        <f t="shared" si="25"/>
        <v/>
      </c>
      <c r="J108" s="19" t="str">
        <f t="shared" si="26"/>
        <v/>
      </c>
      <c r="K108" s="161"/>
      <c r="L108" s="160"/>
      <c r="M108" s="160"/>
      <c r="N108" s="160"/>
      <c r="O108" s="160"/>
      <c r="P108" s="160"/>
      <c r="Q108" s="160"/>
      <c r="R108" s="160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18"/>
        <v/>
      </c>
      <c r="C109" s="19" t="str">
        <f t="shared" si="19"/>
        <v/>
      </c>
      <c r="D109" s="19" t="str">
        <f t="shared" si="20"/>
        <v/>
      </c>
      <c r="E109" s="19" t="str">
        <f t="shared" si="21"/>
        <v/>
      </c>
      <c r="F109" s="19" t="str">
        <f t="shared" si="22"/>
        <v/>
      </c>
      <c r="G109" s="19" t="str">
        <f t="shared" si="23"/>
        <v/>
      </c>
      <c r="H109" s="19" t="str">
        <f t="shared" si="24"/>
        <v/>
      </c>
      <c r="I109" s="19" t="str">
        <f t="shared" si="25"/>
        <v/>
      </c>
      <c r="J109" s="19" t="str">
        <f t="shared" si="26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18"/>
        <v/>
      </c>
      <c r="C110" s="19" t="str">
        <f t="shared" si="19"/>
        <v/>
      </c>
      <c r="D110" s="19" t="str">
        <f t="shared" si="20"/>
        <v/>
      </c>
      <c r="E110" s="19" t="str">
        <f t="shared" si="21"/>
        <v/>
      </c>
      <c r="F110" s="19" t="str">
        <f t="shared" si="22"/>
        <v/>
      </c>
      <c r="G110" s="19" t="str">
        <f t="shared" si="23"/>
        <v/>
      </c>
      <c r="H110" s="19" t="str">
        <f t="shared" si="24"/>
        <v/>
      </c>
      <c r="I110" s="19" t="str">
        <f t="shared" si="25"/>
        <v/>
      </c>
      <c r="J110" s="19" t="str">
        <f t="shared" si="26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18"/>
        <v/>
      </c>
      <c r="C111" s="19" t="str">
        <f t="shared" si="19"/>
        <v/>
      </c>
      <c r="D111" s="19" t="str">
        <f t="shared" si="20"/>
        <v/>
      </c>
      <c r="E111" s="19" t="str">
        <f t="shared" si="21"/>
        <v/>
      </c>
      <c r="F111" s="19" t="str">
        <f t="shared" si="22"/>
        <v/>
      </c>
      <c r="G111" s="19" t="str">
        <f t="shared" si="23"/>
        <v/>
      </c>
      <c r="H111" s="19" t="str">
        <f t="shared" si="24"/>
        <v/>
      </c>
      <c r="I111" s="19" t="str">
        <f t="shared" si="25"/>
        <v/>
      </c>
      <c r="J111" s="19" t="str">
        <f t="shared" si="26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18"/>
        <v/>
      </c>
      <c r="C112" s="19" t="str">
        <f t="shared" si="19"/>
        <v/>
      </c>
      <c r="D112" s="19" t="str">
        <f t="shared" si="20"/>
        <v/>
      </c>
      <c r="E112" s="19" t="str">
        <f t="shared" si="21"/>
        <v/>
      </c>
      <c r="F112" s="19" t="str">
        <f t="shared" si="22"/>
        <v/>
      </c>
      <c r="G112" s="19" t="str">
        <f t="shared" si="23"/>
        <v/>
      </c>
      <c r="H112" s="19" t="str">
        <f t="shared" si="24"/>
        <v/>
      </c>
      <c r="I112" s="19" t="str">
        <f t="shared" si="25"/>
        <v/>
      </c>
      <c r="J112" s="19" t="str">
        <f t="shared" si="26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18"/>
        <v/>
      </c>
      <c r="C113" s="19" t="str">
        <f t="shared" si="19"/>
        <v/>
      </c>
      <c r="D113" s="19" t="str">
        <f t="shared" si="20"/>
        <v/>
      </c>
      <c r="E113" s="19" t="str">
        <f t="shared" si="21"/>
        <v/>
      </c>
      <c r="F113" s="19" t="str">
        <f t="shared" si="22"/>
        <v/>
      </c>
      <c r="G113" s="19" t="str">
        <f t="shared" si="23"/>
        <v/>
      </c>
      <c r="H113" s="19" t="str">
        <f t="shared" si="24"/>
        <v/>
      </c>
      <c r="I113" s="19" t="str">
        <f t="shared" si="25"/>
        <v/>
      </c>
      <c r="J113" s="19" t="str">
        <f t="shared" si="26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18"/>
        <v/>
      </c>
      <c r="C114" s="19" t="str">
        <f t="shared" si="19"/>
        <v/>
      </c>
      <c r="D114" s="19" t="str">
        <f t="shared" si="20"/>
        <v/>
      </c>
      <c r="E114" s="19" t="str">
        <f t="shared" si="21"/>
        <v/>
      </c>
      <c r="F114" s="19" t="str">
        <f t="shared" si="22"/>
        <v/>
      </c>
      <c r="G114" s="19" t="str">
        <f t="shared" si="23"/>
        <v/>
      </c>
      <c r="H114" s="19" t="str">
        <f t="shared" si="24"/>
        <v/>
      </c>
      <c r="I114" s="19" t="str">
        <f t="shared" si="25"/>
        <v/>
      </c>
      <c r="J114" s="19" t="str">
        <f t="shared" si="26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18"/>
        <v/>
      </c>
      <c r="C115" s="27" t="str">
        <f t="shared" si="19"/>
        <v/>
      </c>
      <c r="D115" s="27" t="str">
        <f t="shared" si="20"/>
        <v/>
      </c>
      <c r="E115" s="27" t="str">
        <f t="shared" si="21"/>
        <v/>
      </c>
      <c r="F115" s="27" t="str">
        <f t="shared" si="22"/>
        <v/>
      </c>
      <c r="G115" s="27" t="str">
        <f t="shared" si="23"/>
        <v/>
      </c>
      <c r="H115" s="27" t="str">
        <f t="shared" si="24"/>
        <v/>
      </c>
      <c r="I115" s="27" t="str">
        <f t="shared" si="25"/>
        <v/>
      </c>
      <c r="J115" s="28" t="str">
        <f t="shared" si="26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27">IF(B117&gt;0,AVERAGE(B66:B115),"")</f>
        <v>100</v>
      </c>
      <c r="C116" s="20">
        <f t="shared" si="27"/>
        <v>98.079024737317951</v>
      </c>
      <c r="D116" s="20">
        <f t="shared" si="27"/>
        <v>102.14270704581975</v>
      </c>
      <c r="E116" s="20">
        <f t="shared" si="27"/>
        <v>106.463305080553</v>
      </c>
      <c r="F116" s="20" t="str">
        <f t="shared" si="27"/>
        <v/>
      </c>
      <c r="G116" s="20" t="str">
        <f t="shared" si="27"/>
        <v/>
      </c>
      <c r="H116" s="20" t="str">
        <f t="shared" si="27"/>
        <v/>
      </c>
      <c r="I116" s="20" t="str">
        <f>IF(I117&gt;0,AVERAGE(I66:I115),"")</f>
        <v/>
      </c>
      <c r="J116" s="20" t="str">
        <f>IF(J117&gt;0,AVERAGE(J66:J115),"")</f>
        <v/>
      </c>
      <c r="K116" s="159" t="s">
        <v>29</v>
      </c>
      <c r="L116" s="160"/>
      <c r="M116" s="160"/>
      <c r="N116" s="160"/>
      <c r="O116" s="160"/>
      <c r="P116" s="160"/>
      <c r="Q116" s="160"/>
      <c r="R116" s="160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9</v>
      </c>
      <c r="C117" s="20">
        <f t="shared" ref="C117:J117" si="28">COUNT(C66:C115)</f>
        <v>9</v>
      </c>
      <c r="D117" s="20">
        <f t="shared" si="28"/>
        <v>9</v>
      </c>
      <c r="E117" s="20">
        <f t="shared" si="28"/>
        <v>9</v>
      </c>
      <c r="F117" s="20">
        <f t="shared" si="28"/>
        <v>0</v>
      </c>
      <c r="G117" s="20">
        <f t="shared" si="28"/>
        <v>0</v>
      </c>
      <c r="H117" s="20">
        <f t="shared" si="28"/>
        <v>0</v>
      </c>
      <c r="I117" s="20">
        <f t="shared" si="28"/>
        <v>0</v>
      </c>
      <c r="J117" s="20">
        <f t="shared" si="28"/>
        <v>0</v>
      </c>
      <c r="K117" s="161"/>
      <c r="L117" s="160"/>
      <c r="M117" s="160"/>
      <c r="N117" s="160"/>
      <c r="O117" s="160"/>
      <c r="P117" s="160"/>
      <c r="Q117" s="160"/>
      <c r="R117" s="160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29">IF(C117&gt;0,STDEV(C66:C115),"")</f>
        <v>8.335579925073171</v>
      </c>
      <c r="D118" s="20">
        <f t="shared" si="29"/>
        <v>5.8689388734308663</v>
      </c>
      <c r="E118" s="20">
        <f t="shared" si="29"/>
        <v>8.9171578116739081</v>
      </c>
      <c r="F118" s="20" t="str">
        <f t="shared" si="29"/>
        <v/>
      </c>
      <c r="G118" s="20" t="str">
        <f t="shared" si="29"/>
        <v/>
      </c>
      <c r="H118" s="20" t="str">
        <f t="shared" si="29"/>
        <v/>
      </c>
      <c r="I118" s="20" t="str">
        <f>IF(I117&gt;0,STDEV(I66:I115),"")</f>
        <v/>
      </c>
      <c r="J118" s="20" t="str">
        <f>IF(J117&gt;0,STDEV(J66:J115),"")</f>
        <v/>
      </c>
      <c r="K118" s="161"/>
      <c r="L118" s="160"/>
      <c r="M118" s="160"/>
      <c r="N118" s="160"/>
      <c r="O118" s="160"/>
      <c r="P118" s="160"/>
      <c r="Q118" s="160"/>
      <c r="R118" s="160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30">IF(C117&gt;0,C118/SQRT(C117),"")</f>
        <v>2.778526641691057</v>
      </c>
      <c r="D119" s="20">
        <f t="shared" si="30"/>
        <v>1.9563129578102887</v>
      </c>
      <c r="E119" s="20">
        <f t="shared" si="30"/>
        <v>2.9723859372246362</v>
      </c>
      <c r="F119" s="20" t="str">
        <f t="shared" si="30"/>
        <v/>
      </c>
      <c r="G119" s="20" t="str">
        <f t="shared" si="30"/>
        <v/>
      </c>
      <c r="H119" s="20" t="str">
        <f t="shared" si="30"/>
        <v/>
      </c>
      <c r="I119" s="20" t="str">
        <f>IF(I117&gt;0,I118/SQRT(I117),"")</f>
        <v/>
      </c>
      <c r="J119" s="20" t="str">
        <f>IF(J117&gt;0,J118/SQRT(J117),"")</f>
        <v/>
      </c>
      <c r="K119" s="161"/>
      <c r="L119" s="160"/>
      <c r="M119" s="160"/>
      <c r="N119" s="160"/>
      <c r="O119" s="160"/>
      <c r="P119" s="160"/>
      <c r="Q119" s="160"/>
      <c r="R119" s="160"/>
    </row>
    <row r="120" spans="1:29" x14ac:dyDescent="0.2">
      <c r="A120" s="30" t="s">
        <v>15</v>
      </c>
      <c r="B120" s="20">
        <f t="shared" ref="B120:J120" si="31">IF(B117&gt;2,TINV(0.1,B117-1),"")</f>
        <v>1.8595480375308981</v>
      </c>
      <c r="C120" s="20">
        <f t="shared" si="31"/>
        <v>1.8595480375308981</v>
      </c>
      <c r="D120" s="20">
        <f t="shared" si="31"/>
        <v>1.8595480375308981</v>
      </c>
      <c r="E120" s="20">
        <f t="shared" si="31"/>
        <v>1.8595480375308981</v>
      </c>
      <c r="F120" s="20" t="str">
        <f t="shared" si="31"/>
        <v/>
      </c>
      <c r="G120" s="20" t="str">
        <f t="shared" si="31"/>
        <v/>
      </c>
      <c r="H120" s="20" t="str">
        <f t="shared" si="31"/>
        <v/>
      </c>
      <c r="I120" s="20" t="str">
        <f t="shared" si="31"/>
        <v/>
      </c>
      <c r="J120" s="20" t="str">
        <f t="shared" si="31"/>
        <v/>
      </c>
      <c r="K120" s="161"/>
      <c r="L120" s="160"/>
      <c r="M120" s="160"/>
      <c r="N120" s="160"/>
      <c r="O120" s="160"/>
      <c r="P120" s="160"/>
      <c r="Q120" s="160"/>
      <c r="R120" s="160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32">IF(C117&gt;2,C120*C119,"")</f>
        <v>5.1668037637839221</v>
      </c>
      <c r="D121" s="20">
        <f t="shared" si="32"/>
        <v>3.637857921492389</v>
      </c>
      <c r="E121" s="20">
        <f t="shared" si="32"/>
        <v>5.5272944363505117</v>
      </c>
      <c r="F121" s="20" t="str">
        <f t="shared" si="32"/>
        <v/>
      </c>
      <c r="G121" s="20" t="str">
        <f t="shared" si="32"/>
        <v/>
      </c>
      <c r="H121" s="20" t="str">
        <f t="shared" si="32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33">IF(C117&gt;0,MIN(C66:C115),"")</f>
        <v>84.888069993490518</v>
      </c>
      <c r="D122" s="20">
        <f t="shared" si="33"/>
        <v>93.967370605563644</v>
      </c>
      <c r="E122" s="20">
        <f t="shared" si="33"/>
        <v>95.45720527424514</v>
      </c>
      <c r="F122" s="20" t="str">
        <f t="shared" si="33"/>
        <v/>
      </c>
      <c r="G122" s="20" t="str">
        <f t="shared" si="33"/>
        <v/>
      </c>
      <c r="H122" s="20" t="str">
        <f t="shared" si="33"/>
        <v/>
      </c>
      <c r="I122" s="20" t="str">
        <f t="shared" si="33"/>
        <v/>
      </c>
      <c r="J122" s="20" t="str">
        <f t="shared" si="33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34">IF(C117&gt;0,MAX(C66:C115),"")</f>
        <v>107.56312331143056</v>
      </c>
      <c r="D123" s="20">
        <f t="shared" si="34"/>
        <v>112.90067042460224</v>
      </c>
      <c r="E123" s="20">
        <f t="shared" si="34"/>
        <v>124.37076599873562</v>
      </c>
      <c r="F123" s="20" t="str">
        <f t="shared" si="34"/>
        <v/>
      </c>
      <c r="G123" s="20" t="str">
        <f t="shared" si="34"/>
        <v/>
      </c>
      <c r="H123" s="20" t="str">
        <f t="shared" si="34"/>
        <v/>
      </c>
      <c r="I123" s="20" t="str">
        <f t="shared" si="34"/>
        <v/>
      </c>
      <c r="J123" s="31" t="str">
        <f t="shared" si="34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K42:R42"/>
    <mergeCell ref="K104:R108"/>
    <mergeCell ref="C3:J3"/>
    <mergeCell ref="B9:J9"/>
    <mergeCell ref="B63:J63"/>
  </mergeCells>
  <phoneticPr fontId="0" type="noConversion"/>
  <conditionalFormatting sqref="C66:J115">
    <cfRule type="cellIs" dxfId="3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EE9827"/>
  <sheetViews>
    <sheetView topLeftCell="A61" zoomScaleNormal="100" workbookViewId="0">
      <selection activeCell="B21" sqref="B21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1" t="s">
        <v>94</v>
      </c>
      <c r="J1" s="92"/>
      <c r="K1" s="94" t="s">
        <v>105</v>
      </c>
      <c r="L1" s="92"/>
      <c r="M1" s="92"/>
    </row>
    <row r="2" spans="1:18" x14ac:dyDescent="0.2">
      <c r="A2" s="40" t="s">
        <v>83</v>
      </c>
      <c r="B2" s="40" t="str">
        <f>hiddenSheet!ekr_doktittel</f>
        <v>Holdbarhetsforsøk GADA</v>
      </c>
      <c r="C2" s="40"/>
      <c r="D2" s="40"/>
      <c r="E2" s="40"/>
      <c r="F2" s="40"/>
      <c r="G2" s="40"/>
      <c r="H2" s="40"/>
      <c r="I2" s="91" t="s">
        <v>95</v>
      </c>
      <c r="J2" s="92"/>
      <c r="K2" s="93"/>
      <c r="L2" s="101"/>
      <c r="M2" s="101"/>
      <c r="N2" s="102"/>
      <c r="O2" s="102"/>
      <c r="P2" s="102"/>
    </row>
    <row r="3" spans="1:18" ht="23.25" x14ac:dyDescent="0.35">
      <c r="A3" s="9" t="s">
        <v>13</v>
      </c>
      <c r="B3" s="10"/>
      <c r="C3" s="164" t="s">
        <v>125</v>
      </c>
      <c r="D3" s="165"/>
      <c r="E3" s="165"/>
      <c r="F3" s="165"/>
      <c r="G3" s="165"/>
      <c r="H3" s="165"/>
      <c r="I3" s="165"/>
      <c r="J3" s="165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3"/>
      <c r="B7" s="122" t="s">
        <v>0</v>
      </c>
      <c r="C7" s="122" t="s">
        <v>1</v>
      </c>
      <c r="D7" s="122" t="s">
        <v>2</v>
      </c>
      <c r="E7" s="122" t="s">
        <v>3</v>
      </c>
      <c r="F7" s="122" t="s">
        <v>4</v>
      </c>
      <c r="G7" s="122" t="s">
        <v>5</v>
      </c>
      <c r="H7" s="122" t="s">
        <v>6</v>
      </c>
      <c r="I7" s="122" t="s">
        <v>27</v>
      </c>
      <c r="J7" s="122" t="s">
        <v>28</v>
      </c>
      <c r="K7" s="73"/>
      <c r="L7" s="74"/>
      <c r="M7" s="74"/>
      <c r="N7" s="74"/>
      <c r="O7" s="74"/>
      <c r="P7" s="74"/>
      <c r="Q7" s="74"/>
      <c r="R7" s="74"/>
    </row>
    <row r="8" spans="1:18" ht="15.75" thickBot="1" x14ac:dyDescent="0.3">
      <c r="A8" s="75" t="s">
        <v>12</v>
      </c>
      <c r="B8" s="118">
        <v>0</v>
      </c>
      <c r="C8" s="119">
        <v>72</v>
      </c>
      <c r="D8" s="119">
        <v>120</v>
      </c>
      <c r="E8" s="119">
        <v>168</v>
      </c>
      <c r="F8" s="119"/>
      <c r="G8" s="119"/>
      <c r="H8" s="120"/>
      <c r="I8" s="119"/>
      <c r="J8" s="121"/>
      <c r="K8" s="76"/>
      <c r="L8" s="73"/>
      <c r="M8" s="73"/>
      <c r="N8" s="73"/>
      <c r="O8" s="73"/>
      <c r="P8" s="73"/>
      <c r="Q8" s="73"/>
      <c r="R8" s="73"/>
    </row>
    <row r="9" spans="1:18" ht="15.75" thickBot="1" x14ac:dyDescent="0.3">
      <c r="A9" s="77" t="s">
        <v>20</v>
      </c>
      <c r="B9" s="166" t="s">
        <v>21</v>
      </c>
      <c r="C9" s="167"/>
      <c r="D9" s="167"/>
      <c r="E9" s="167"/>
      <c r="F9" s="167"/>
      <c r="G9" s="167"/>
      <c r="H9" s="167"/>
      <c r="I9" s="168"/>
      <c r="J9" s="169"/>
      <c r="K9" s="76"/>
      <c r="L9" s="73"/>
      <c r="M9" s="73"/>
      <c r="N9" s="73"/>
      <c r="O9" s="73"/>
      <c r="P9" s="73"/>
      <c r="Q9" s="73"/>
      <c r="R9" s="73"/>
    </row>
    <row r="10" spans="1:18" ht="15" x14ac:dyDescent="0.25">
      <c r="A10" s="78">
        <v>1</v>
      </c>
      <c r="B10" s="87">
        <v>18.127400000000002</v>
      </c>
      <c r="C10" s="88">
        <v>15.5533</v>
      </c>
      <c r="D10" s="88">
        <v>16.7224</v>
      </c>
      <c r="E10" s="88">
        <v>17.101700000000001</v>
      </c>
      <c r="F10" s="88"/>
      <c r="G10" s="88"/>
      <c r="H10" s="88"/>
      <c r="I10" s="88"/>
      <c r="J10" s="104"/>
      <c r="K10" s="73"/>
      <c r="L10" s="73"/>
      <c r="M10" s="73"/>
      <c r="N10" s="73"/>
      <c r="O10" s="73"/>
      <c r="P10" s="73"/>
      <c r="Q10" s="73"/>
      <c r="R10" s="73"/>
    </row>
    <row r="11" spans="1:18" ht="15" x14ac:dyDescent="0.25">
      <c r="A11" s="79">
        <v>2</v>
      </c>
      <c r="B11" s="89">
        <v>139.70500000000001</v>
      </c>
      <c r="C11" s="90">
        <v>140.54</v>
      </c>
      <c r="D11" s="90">
        <v>147.68199999999999</v>
      </c>
      <c r="E11" s="90">
        <v>158.327</v>
      </c>
      <c r="F11" s="90"/>
      <c r="G11" s="90"/>
      <c r="H11" s="90"/>
      <c r="I11" s="90"/>
      <c r="J11" s="105"/>
      <c r="K11" s="73"/>
      <c r="L11" s="73"/>
      <c r="M11" s="73"/>
      <c r="N11" s="73"/>
      <c r="O11" s="73"/>
      <c r="P11" s="73"/>
      <c r="Q11" s="73"/>
      <c r="R11" s="73"/>
    </row>
    <row r="12" spans="1:18" ht="15" x14ac:dyDescent="0.25">
      <c r="A12" s="79">
        <v>3</v>
      </c>
      <c r="B12" s="89">
        <f>(25.779+25.489)/2</f>
        <v>25.634</v>
      </c>
      <c r="C12" s="90">
        <f>(25.692+25.537)/2</f>
        <v>25.6145</v>
      </c>
      <c r="D12" s="90">
        <f>(24.15+23.623)/2</f>
        <v>23.886499999999998</v>
      </c>
      <c r="E12" s="90">
        <f>(27.789+27.226)/2</f>
        <v>27.5075</v>
      </c>
      <c r="F12" s="90"/>
      <c r="G12" s="90"/>
      <c r="H12" s="90"/>
      <c r="I12" s="90"/>
      <c r="J12" s="105"/>
      <c r="K12" s="73"/>
      <c r="L12" s="73"/>
      <c r="M12" s="73"/>
      <c r="N12" s="73"/>
      <c r="O12" s="73"/>
      <c r="P12" s="73"/>
      <c r="Q12" s="73"/>
      <c r="R12" s="73"/>
    </row>
    <row r="13" spans="1:18" ht="15" x14ac:dyDescent="0.25">
      <c r="A13" s="79">
        <v>4</v>
      </c>
      <c r="B13" s="89">
        <f>(253.397+289.419)/2</f>
        <v>271.40800000000002</v>
      </c>
      <c r="C13" s="90">
        <f>(332.815+361.142)/2</f>
        <v>346.9785</v>
      </c>
      <c r="D13" s="90">
        <f>(360.306+384.184)/2</f>
        <v>372.245</v>
      </c>
      <c r="E13" s="90">
        <f>(404.158+413.06)/2</f>
        <v>408.60900000000004</v>
      </c>
      <c r="F13" s="90"/>
      <c r="G13" s="90"/>
      <c r="H13" s="90"/>
      <c r="I13" s="90"/>
      <c r="J13" s="105"/>
      <c r="K13" s="73"/>
      <c r="L13" s="73"/>
      <c r="M13" s="73"/>
      <c r="N13" s="73"/>
      <c r="O13" s="73"/>
      <c r="P13" s="73"/>
      <c r="Q13" s="73"/>
      <c r="R13" s="73"/>
    </row>
    <row r="14" spans="1:18" ht="15" x14ac:dyDescent="0.25">
      <c r="A14" s="79">
        <v>5</v>
      </c>
      <c r="B14" s="89">
        <f>(591.429+544.317)/2</f>
        <v>567.87300000000005</v>
      </c>
      <c r="C14" s="90">
        <f>(541.703+589.171)/2</f>
        <v>565.43700000000001</v>
      </c>
      <c r="D14" s="90">
        <f>(644.738+617.352)/2</f>
        <v>631.04500000000007</v>
      </c>
      <c r="E14" s="90">
        <f>(711.128+590.665)/2</f>
        <v>650.89650000000006</v>
      </c>
      <c r="F14" s="90"/>
      <c r="G14" s="90"/>
      <c r="H14" s="90"/>
      <c r="I14" s="90"/>
      <c r="J14" s="105"/>
      <c r="K14" s="73"/>
      <c r="L14" s="73"/>
      <c r="M14" s="73"/>
      <c r="N14" s="73"/>
      <c r="O14" s="73"/>
      <c r="P14" s="73"/>
      <c r="Q14" s="73"/>
      <c r="R14" s="73"/>
    </row>
    <row r="15" spans="1:18" ht="15" x14ac:dyDescent="0.25">
      <c r="A15" s="79">
        <v>6</v>
      </c>
      <c r="B15" s="89">
        <f>(24.169+24.291)/2</f>
        <v>24.23</v>
      </c>
      <c r="C15" s="90">
        <f>(23.261+23.591)/2</f>
        <v>23.426000000000002</v>
      </c>
      <c r="D15" s="90">
        <f>(24.62+24.147)/2</f>
        <v>24.383499999999998</v>
      </c>
      <c r="E15" s="90">
        <f>(25.054+25.866)/2</f>
        <v>25.46</v>
      </c>
      <c r="F15" s="90"/>
      <c r="G15" s="90"/>
      <c r="H15" s="90"/>
      <c r="I15" s="90"/>
      <c r="J15" s="105"/>
      <c r="K15" s="73"/>
      <c r="L15" s="73"/>
      <c r="M15" s="73"/>
      <c r="N15" s="73"/>
      <c r="O15" s="73"/>
      <c r="P15" s="73"/>
      <c r="Q15" s="73"/>
      <c r="R15" s="73"/>
    </row>
    <row r="16" spans="1:18" ht="15" x14ac:dyDescent="0.25">
      <c r="A16" s="79">
        <v>7</v>
      </c>
      <c r="B16" s="89">
        <f>(60.905+59.019)/2</f>
        <v>59.962000000000003</v>
      </c>
      <c r="C16" s="90">
        <f>(64.136+60.156)/2</f>
        <v>62.146000000000001</v>
      </c>
      <c r="D16" s="90">
        <f>(56.834+62.695)/2</f>
        <v>59.764499999999998</v>
      </c>
      <c r="E16" s="90">
        <f>(67+61.226)/2</f>
        <v>64.113</v>
      </c>
      <c r="F16" s="90"/>
      <c r="G16" s="90"/>
      <c r="H16" s="90"/>
      <c r="I16" s="90"/>
      <c r="J16" s="105"/>
      <c r="K16" s="73"/>
      <c r="L16" s="73"/>
      <c r="M16" s="73"/>
      <c r="N16" s="73"/>
      <c r="O16" s="73"/>
      <c r="P16" s="73"/>
      <c r="Q16" s="73"/>
      <c r="R16" s="73"/>
    </row>
    <row r="17" spans="1:18" ht="15" x14ac:dyDescent="0.25">
      <c r="A17" s="79">
        <v>8</v>
      </c>
      <c r="B17" s="89">
        <f>643.285</f>
        <v>643.28499999999997</v>
      </c>
      <c r="C17" s="90">
        <f>(574.674+510.099)/2</f>
        <v>542.38649999999996</v>
      </c>
      <c r="D17" s="90">
        <f>(626.777+616.834)/2</f>
        <v>621.80549999999994</v>
      </c>
      <c r="E17" s="90">
        <f>(626.522+673.838)/2</f>
        <v>650.18000000000006</v>
      </c>
      <c r="F17" s="90"/>
      <c r="G17" s="90"/>
      <c r="H17" s="90"/>
      <c r="I17" s="90"/>
      <c r="J17" s="105"/>
      <c r="K17" s="73"/>
      <c r="L17" s="73"/>
      <c r="M17" s="73"/>
      <c r="N17" s="73"/>
      <c r="O17" s="73"/>
      <c r="P17" s="73"/>
      <c r="Q17" s="73"/>
      <c r="R17" s="73"/>
    </row>
    <row r="18" spans="1:18" ht="15" x14ac:dyDescent="0.25">
      <c r="A18" s="79">
        <v>9</v>
      </c>
      <c r="B18" s="89">
        <f>(585.088+580.033)/2</f>
        <v>582.56050000000005</v>
      </c>
      <c r="C18" s="90">
        <f>(561.186+450.41)/2</f>
        <v>505.798</v>
      </c>
      <c r="D18" s="90">
        <f>(558.293+585.218)/2</f>
        <v>571.75549999999998</v>
      </c>
      <c r="E18" s="90">
        <f>(617.047+528.53)/2</f>
        <v>572.7885</v>
      </c>
      <c r="F18" s="90"/>
      <c r="G18" s="90"/>
      <c r="H18" s="90"/>
      <c r="I18" s="90"/>
      <c r="J18" s="105"/>
      <c r="K18" s="73"/>
      <c r="L18" s="73"/>
      <c r="M18" s="73"/>
      <c r="N18" s="73"/>
      <c r="O18" s="73"/>
      <c r="P18" s="73"/>
      <c r="Q18" s="73"/>
      <c r="R18" s="73"/>
    </row>
    <row r="19" spans="1:18" ht="15" x14ac:dyDescent="0.25">
      <c r="A19" s="79">
        <v>10</v>
      </c>
      <c r="B19" s="89">
        <f>(10.88+11.382)/2</f>
        <v>11.131</v>
      </c>
      <c r="C19" s="90">
        <f>(10.618+10.017)/2</f>
        <v>10.317499999999999</v>
      </c>
      <c r="D19" s="90">
        <f>(11.242+11.259)/2</f>
        <v>11.250500000000001</v>
      </c>
      <c r="E19" s="90">
        <f>(11.521+12.202)/2</f>
        <v>11.861499999999999</v>
      </c>
      <c r="F19" s="90"/>
      <c r="G19" s="90"/>
      <c r="H19" s="90"/>
      <c r="I19" s="90"/>
      <c r="J19" s="105"/>
      <c r="K19" s="73"/>
      <c r="L19" s="73"/>
      <c r="M19" s="73"/>
      <c r="N19" s="73"/>
      <c r="O19" s="73"/>
      <c r="P19" s="73"/>
      <c r="Q19" s="73"/>
      <c r="R19" s="73"/>
    </row>
    <row r="20" spans="1:18" ht="15" x14ac:dyDescent="0.25">
      <c r="A20" s="79">
        <v>11</v>
      </c>
      <c r="B20" s="89">
        <v>3.8534999999999999</v>
      </c>
      <c r="C20" s="90">
        <v>3.36</v>
      </c>
      <c r="D20" s="90">
        <v>3.5845000000000002</v>
      </c>
      <c r="E20" s="90">
        <v>4.0555000000000003</v>
      </c>
      <c r="F20" s="90"/>
      <c r="G20" s="90"/>
      <c r="H20" s="90"/>
      <c r="I20" s="90"/>
      <c r="J20" s="105"/>
      <c r="K20" s="73"/>
      <c r="L20" s="73"/>
      <c r="M20" s="73"/>
      <c r="N20" s="73"/>
      <c r="O20" s="73"/>
      <c r="P20" s="73"/>
      <c r="Q20" s="73"/>
      <c r="R20" s="73"/>
    </row>
    <row r="21" spans="1:18" ht="15" x14ac:dyDescent="0.25">
      <c r="A21" s="79">
        <v>12</v>
      </c>
      <c r="B21" s="89">
        <v>2.835</v>
      </c>
      <c r="C21" s="90">
        <v>2.9020000000000001</v>
      </c>
      <c r="D21" s="90">
        <v>2.738</v>
      </c>
      <c r="E21" s="90">
        <v>3.3040000000000003</v>
      </c>
      <c r="F21" s="90"/>
      <c r="G21" s="90"/>
      <c r="H21" s="90"/>
      <c r="I21" s="90"/>
      <c r="J21" s="105"/>
      <c r="K21" s="73"/>
      <c r="L21" s="73"/>
      <c r="M21" s="73"/>
      <c r="N21" s="73"/>
      <c r="O21" s="73"/>
      <c r="P21" s="73"/>
      <c r="Q21" s="73"/>
      <c r="R21" s="73"/>
    </row>
    <row r="22" spans="1:18" ht="15" x14ac:dyDescent="0.25">
      <c r="A22" s="79">
        <v>13</v>
      </c>
      <c r="B22" s="89"/>
      <c r="C22" s="90"/>
      <c r="D22" s="90"/>
      <c r="E22" s="90"/>
      <c r="F22" s="90"/>
      <c r="G22" s="90"/>
      <c r="H22" s="90"/>
      <c r="I22" s="90"/>
      <c r="J22" s="105"/>
      <c r="K22" s="73"/>
      <c r="L22" s="73"/>
      <c r="M22" s="73"/>
      <c r="N22" s="73"/>
      <c r="O22" s="73"/>
      <c r="P22" s="73"/>
      <c r="Q22" s="73"/>
      <c r="R22" s="73"/>
    </row>
    <row r="23" spans="1:18" ht="15" x14ac:dyDescent="0.25">
      <c r="A23" s="79">
        <v>14</v>
      </c>
      <c r="B23" s="89"/>
      <c r="C23" s="90"/>
      <c r="D23" s="90"/>
      <c r="E23" s="90"/>
      <c r="F23" s="90"/>
      <c r="G23" s="90"/>
      <c r="H23" s="90"/>
      <c r="I23" s="90"/>
      <c r="J23" s="105"/>
      <c r="K23" s="73"/>
      <c r="L23" s="73"/>
      <c r="M23" s="73"/>
      <c r="N23" s="73"/>
      <c r="O23" s="73"/>
      <c r="P23" s="73"/>
      <c r="Q23" s="73"/>
      <c r="R23" s="73"/>
    </row>
    <row r="24" spans="1:18" ht="15" x14ac:dyDescent="0.25">
      <c r="A24" s="79">
        <v>15</v>
      </c>
      <c r="B24" s="89"/>
      <c r="C24" s="90"/>
      <c r="D24" s="90"/>
      <c r="E24" s="90"/>
      <c r="F24" s="90"/>
      <c r="G24" s="90"/>
      <c r="H24" s="90"/>
      <c r="I24" s="90"/>
      <c r="J24" s="105"/>
      <c r="K24" s="73"/>
      <c r="L24" s="73"/>
      <c r="M24" s="73"/>
      <c r="N24" s="73"/>
      <c r="O24" s="73"/>
      <c r="P24" s="73"/>
      <c r="Q24" s="73"/>
      <c r="R24" s="73"/>
    </row>
    <row r="25" spans="1:18" ht="15" x14ac:dyDescent="0.25">
      <c r="A25" s="79">
        <v>16</v>
      </c>
      <c r="B25" s="106"/>
      <c r="C25" s="107"/>
      <c r="D25" s="107"/>
      <c r="E25" s="107"/>
      <c r="F25" s="107"/>
      <c r="G25" s="108"/>
      <c r="H25" s="108"/>
      <c r="I25" s="108"/>
      <c r="J25" s="105"/>
      <c r="K25" s="73"/>
      <c r="L25" s="73"/>
      <c r="M25" s="73"/>
      <c r="N25" s="73"/>
      <c r="O25" s="73"/>
      <c r="P25" s="73"/>
      <c r="Q25" s="73"/>
      <c r="R25" s="73"/>
    </row>
    <row r="26" spans="1:18" ht="15" x14ac:dyDescent="0.25">
      <c r="A26" s="79">
        <v>17</v>
      </c>
      <c r="B26" s="106"/>
      <c r="C26" s="107"/>
      <c r="D26" s="107"/>
      <c r="E26" s="107"/>
      <c r="F26" s="107"/>
      <c r="G26" s="108"/>
      <c r="H26" s="108"/>
      <c r="I26" s="108"/>
      <c r="J26" s="105"/>
      <c r="K26" s="73"/>
      <c r="L26" s="73"/>
      <c r="M26" s="73"/>
      <c r="N26" s="73"/>
      <c r="O26" s="73"/>
      <c r="P26" s="73"/>
      <c r="Q26" s="73"/>
      <c r="R26" s="73"/>
    </row>
    <row r="27" spans="1:18" ht="15" x14ac:dyDescent="0.25">
      <c r="A27" s="79">
        <v>18</v>
      </c>
      <c r="B27" s="106"/>
      <c r="C27" s="107"/>
      <c r="D27" s="107"/>
      <c r="E27" s="107"/>
      <c r="F27" s="107"/>
      <c r="G27" s="108"/>
      <c r="H27" s="108"/>
      <c r="I27" s="108"/>
      <c r="J27" s="105"/>
      <c r="K27" s="73"/>
      <c r="L27" s="73"/>
      <c r="M27" s="73"/>
      <c r="N27" s="73"/>
      <c r="O27" s="73"/>
      <c r="P27" s="73"/>
      <c r="Q27" s="73"/>
      <c r="R27" s="73"/>
    </row>
    <row r="28" spans="1:18" ht="15" x14ac:dyDescent="0.25">
      <c r="A28" s="79">
        <v>19</v>
      </c>
      <c r="B28" s="106"/>
      <c r="C28" s="107"/>
      <c r="D28" s="107"/>
      <c r="E28" s="107"/>
      <c r="F28" s="107"/>
      <c r="G28" s="108"/>
      <c r="H28" s="108"/>
      <c r="I28" s="108"/>
      <c r="J28" s="105"/>
      <c r="K28" s="73"/>
      <c r="L28" s="73"/>
      <c r="M28" s="73"/>
      <c r="N28" s="73"/>
      <c r="O28" s="73"/>
      <c r="P28" s="73"/>
      <c r="Q28" s="73"/>
      <c r="R28" s="73"/>
    </row>
    <row r="29" spans="1:18" ht="15" x14ac:dyDescent="0.25">
      <c r="A29" s="79">
        <v>20</v>
      </c>
      <c r="B29" s="106"/>
      <c r="C29" s="107"/>
      <c r="D29" s="107"/>
      <c r="E29" s="107"/>
      <c r="F29" s="107"/>
      <c r="G29" s="108"/>
      <c r="H29" s="108"/>
      <c r="I29" s="108"/>
      <c r="J29" s="105"/>
      <c r="K29" s="73"/>
      <c r="L29" s="73"/>
      <c r="M29" s="73"/>
      <c r="N29" s="73"/>
      <c r="O29" s="73"/>
      <c r="P29" s="73"/>
      <c r="Q29" s="73"/>
      <c r="R29" s="73"/>
    </row>
    <row r="30" spans="1:18" ht="15" x14ac:dyDescent="0.25">
      <c r="A30" s="79">
        <v>21</v>
      </c>
      <c r="B30" s="106"/>
      <c r="C30" s="107"/>
      <c r="D30" s="107"/>
      <c r="E30" s="107"/>
      <c r="F30" s="107"/>
      <c r="G30" s="108"/>
      <c r="H30" s="108"/>
      <c r="I30" s="108"/>
      <c r="J30" s="105"/>
      <c r="K30" s="73"/>
      <c r="L30" s="73"/>
      <c r="M30" s="73"/>
      <c r="N30" s="73"/>
      <c r="O30" s="73"/>
      <c r="P30" s="73"/>
      <c r="Q30" s="73"/>
      <c r="R30" s="73"/>
    </row>
    <row r="31" spans="1:18" ht="15" x14ac:dyDescent="0.25">
      <c r="A31" s="79">
        <v>22</v>
      </c>
      <c r="B31" s="106"/>
      <c r="C31" s="107"/>
      <c r="D31" s="107"/>
      <c r="E31" s="107"/>
      <c r="F31" s="107"/>
      <c r="G31" s="108"/>
      <c r="H31" s="108"/>
      <c r="I31" s="108"/>
      <c r="J31" s="105"/>
      <c r="K31" s="80"/>
      <c r="L31" s="80"/>
      <c r="M31" s="80"/>
      <c r="N31" s="80"/>
      <c r="O31" s="80"/>
      <c r="P31" s="80"/>
      <c r="Q31" s="80"/>
      <c r="R31" s="80"/>
    </row>
    <row r="32" spans="1:18" ht="15" x14ac:dyDescent="0.25">
      <c r="A32" s="79">
        <v>23</v>
      </c>
      <c r="B32" s="106"/>
      <c r="C32" s="107"/>
      <c r="D32" s="107"/>
      <c r="E32" s="107"/>
      <c r="F32" s="107"/>
      <c r="G32" s="108"/>
      <c r="H32" s="108"/>
      <c r="I32" s="108"/>
      <c r="J32" s="105"/>
      <c r="K32" s="80"/>
      <c r="L32" s="80"/>
      <c r="M32" s="80"/>
      <c r="N32" s="80"/>
      <c r="O32" s="80"/>
      <c r="P32" s="80"/>
      <c r="Q32" s="80"/>
      <c r="R32" s="80"/>
    </row>
    <row r="33" spans="1:18" ht="15" x14ac:dyDescent="0.25">
      <c r="A33" s="79">
        <v>24</v>
      </c>
      <c r="B33" s="106"/>
      <c r="C33" s="107"/>
      <c r="D33" s="107"/>
      <c r="E33" s="107"/>
      <c r="F33" s="107"/>
      <c r="G33" s="108"/>
      <c r="H33" s="108"/>
      <c r="I33" s="108"/>
      <c r="J33" s="105"/>
      <c r="K33" s="80"/>
      <c r="L33" s="80"/>
      <c r="M33" s="80"/>
      <c r="N33" s="80"/>
      <c r="O33" s="80"/>
      <c r="P33" s="80"/>
      <c r="Q33" s="80"/>
      <c r="R33" s="80"/>
    </row>
    <row r="34" spans="1:18" ht="15" x14ac:dyDescent="0.25">
      <c r="A34" s="79">
        <v>25</v>
      </c>
      <c r="B34" s="109"/>
      <c r="C34" s="110"/>
      <c r="D34" s="110"/>
      <c r="E34" s="110"/>
      <c r="F34" s="110"/>
      <c r="G34" s="108"/>
      <c r="H34" s="108"/>
      <c r="I34" s="108"/>
      <c r="J34" s="111"/>
      <c r="K34" s="80"/>
      <c r="L34" s="80"/>
      <c r="M34" s="80"/>
      <c r="N34" s="80"/>
      <c r="O34" s="80"/>
      <c r="P34" s="80"/>
      <c r="Q34" s="80"/>
      <c r="R34" s="80"/>
    </row>
    <row r="35" spans="1:18" ht="15" x14ac:dyDescent="0.25">
      <c r="A35" s="79">
        <v>26</v>
      </c>
      <c r="B35" s="109"/>
      <c r="C35" s="110"/>
      <c r="D35" s="110"/>
      <c r="E35" s="110"/>
      <c r="F35" s="110"/>
      <c r="G35" s="108"/>
      <c r="H35" s="108"/>
      <c r="I35" s="108"/>
      <c r="J35" s="111"/>
      <c r="K35" s="80"/>
      <c r="L35" s="80"/>
      <c r="M35" s="80"/>
      <c r="N35" s="80"/>
      <c r="O35" s="80"/>
      <c r="P35" s="80"/>
      <c r="Q35" s="80"/>
      <c r="R35" s="80"/>
    </row>
    <row r="36" spans="1:18" ht="15" x14ac:dyDescent="0.25">
      <c r="A36" s="79">
        <v>27</v>
      </c>
      <c r="B36" s="109"/>
      <c r="C36" s="110"/>
      <c r="D36" s="110"/>
      <c r="E36" s="110"/>
      <c r="F36" s="110"/>
      <c r="G36" s="108"/>
      <c r="H36" s="108"/>
      <c r="I36" s="108"/>
      <c r="J36" s="111"/>
      <c r="K36" s="80"/>
      <c r="L36" s="80"/>
      <c r="M36" s="80"/>
      <c r="N36" s="80"/>
      <c r="O36" s="80"/>
      <c r="P36" s="80"/>
      <c r="Q36" s="80"/>
      <c r="R36" s="80"/>
    </row>
    <row r="37" spans="1:18" ht="15" x14ac:dyDescent="0.25">
      <c r="A37" s="79">
        <v>28</v>
      </c>
      <c r="B37" s="109"/>
      <c r="C37" s="110"/>
      <c r="D37" s="110"/>
      <c r="E37" s="110"/>
      <c r="F37" s="110"/>
      <c r="G37" s="108"/>
      <c r="H37" s="108"/>
      <c r="I37" s="108"/>
      <c r="J37" s="111"/>
      <c r="K37" s="80"/>
      <c r="L37" s="80"/>
      <c r="M37" s="80"/>
      <c r="N37" s="80"/>
      <c r="O37" s="80"/>
      <c r="P37" s="80"/>
      <c r="Q37" s="80"/>
      <c r="R37" s="80"/>
    </row>
    <row r="38" spans="1:18" ht="15" x14ac:dyDescent="0.25">
      <c r="A38" s="79">
        <v>29</v>
      </c>
      <c r="B38" s="109"/>
      <c r="C38" s="110"/>
      <c r="D38" s="110"/>
      <c r="E38" s="110"/>
      <c r="F38" s="110"/>
      <c r="G38" s="108"/>
      <c r="H38" s="108"/>
      <c r="I38" s="108"/>
      <c r="J38" s="111"/>
      <c r="K38" s="80"/>
      <c r="L38" s="80"/>
      <c r="M38" s="80"/>
      <c r="N38" s="80"/>
      <c r="O38" s="80"/>
      <c r="P38" s="80"/>
      <c r="Q38" s="80"/>
      <c r="R38" s="80"/>
    </row>
    <row r="39" spans="1:18" ht="15" customHeight="1" x14ac:dyDescent="0.25">
      <c r="A39" s="79">
        <v>30</v>
      </c>
      <c r="B39" s="109"/>
      <c r="C39" s="110"/>
      <c r="D39" s="110"/>
      <c r="E39" s="110"/>
      <c r="F39" s="110"/>
      <c r="G39" s="108"/>
      <c r="H39" s="108"/>
      <c r="I39" s="108"/>
      <c r="J39" s="111"/>
      <c r="K39" s="81"/>
      <c r="L39" s="82"/>
      <c r="M39" s="82"/>
      <c r="N39" s="82"/>
      <c r="O39" s="82"/>
      <c r="P39" s="82"/>
      <c r="Q39" s="82"/>
      <c r="R39" s="82"/>
    </row>
    <row r="40" spans="1:18" ht="15" x14ac:dyDescent="0.25">
      <c r="A40" s="79">
        <v>31</v>
      </c>
      <c r="B40" s="109"/>
      <c r="C40" s="110"/>
      <c r="D40" s="110"/>
      <c r="E40" s="110"/>
      <c r="F40" s="110"/>
      <c r="G40" s="108"/>
      <c r="H40" s="108"/>
      <c r="I40" s="108"/>
      <c r="J40" s="111"/>
      <c r="K40" s="83"/>
      <c r="L40" s="82"/>
      <c r="M40" s="82"/>
      <c r="N40" s="82"/>
      <c r="O40" s="82"/>
      <c r="P40" s="82"/>
      <c r="Q40" s="82"/>
      <c r="R40" s="82"/>
    </row>
    <row r="41" spans="1:18" ht="15" x14ac:dyDescent="0.25">
      <c r="A41" s="79">
        <v>32</v>
      </c>
      <c r="B41" s="109"/>
      <c r="C41" s="110"/>
      <c r="D41" s="110"/>
      <c r="E41" s="110"/>
      <c r="F41" s="110"/>
      <c r="G41" s="108"/>
      <c r="H41" s="108"/>
      <c r="I41" s="108"/>
      <c r="J41" s="111"/>
      <c r="K41" s="83"/>
      <c r="L41" s="82"/>
      <c r="M41" s="82"/>
      <c r="N41" s="82"/>
      <c r="O41" s="82"/>
      <c r="P41" s="82"/>
      <c r="Q41" s="82"/>
      <c r="R41" s="82"/>
    </row>
    <row r="42" spans="1:18" ht="15" x14ac:dyDescent="0.25">
      <c r="A42" s="79">
        <v>33</v>
      </c>
      <c r="B42" s="109"/>
      <c r="C42" s="110"/>
      <c r="D42" s="110"/>
      <c r="E42" s="110"/>
      <c r="F42" s="110"/>
      <c r="G42" s="108"/>
      <c r="H42" s="108"/>
      <c r="I42" s="108"/>
      <c r="J42" s="111"/>
      <c r="K42" s="162" t="s">
        <v>30</v>
      </c>
      <c r="L42" s="163"/>
      <c r="M42" s="163"/>
      <c r="N42" s="163"/>
      <c r="O42" s="163"/>
      <c r="P42" s="163"/>
      <c r="Q42" s="163"/>
      <c r="R42" s="163"/>
    </row>
    <row r="43" spans="1:18" ht="15" x14ac:dyDescent="0.25">
      <c r="A43" s="79">
        <v>34</v>
      </c>
      <c r="B43" s="109"/>
      <c r="C43" s="110"/>
      <c r="D43" s="110"/>
      <c r="E43" s="110"/>
      <c r="F43" s="110"/>
      <c r="G43" s="108"/>
      <c r="H43" s="108"/>
      <c r="I43" s="108"/>
      <c r="J43" s="111"/>
      <c r="K43" s="84"/>
      <c r="L43" s="85"/>
      <c r="M43" s="85"/>
      <c r="N43" s="85"/>
      <c r="O43" s="85"/>
      <c r="P43" s="85"/>
      <c r="Q43" s="85"/>
      <c r="R43" s="85"/>
    </row>
    <row r="44" spans="1:18" ht="15" x14ac:dyDescent="0.25">
      <c r="A44" s="79">
        <v>35</v>
      </c>
      <c r="B44" s="109"/>
      <c r="C44" s="110"/>
      <c r="D44" s="110"/>
      <c r="E44" s="110"/>
      <c r="F44" s="110"/>
      <c r="G44" s="108"/>
      <c r="H44" s="108"/>
      <c r="I44" s="108"/>
      <c r="J44" s="111"/>
      <c r="K44" s="84"/>
      <c r="L44" s="85"/>
      <c r="M44" s="85"/>
      <c r="N44" s="85"/>
      <c r="O44" s="85"/>
      <c r="P44" s="85"/>
      <c r="Q44" s="85"/>
      <c r="R44" s="85"/>
    </row>
    <row r="45" spans="1:18" ht="15" x14ac:dyDescent="0.25">
      <c r="A45" s="79">
        <v>36</v>
      </c>
      <c r="B45" s="109"/>
      <c r="C45" s="110"/>
      <c r="D45" s="110"/>
      <c r="E45" s="110"/>
      <c r="F45" s="110"/>
      <c r="G45" s="108"/>
      <c r="H45" s="108"/>
      <c r="I45" s="108"/>
      <c r="J45" s="111"/>
      <c r="K45" s="84"/>
      <c r="L45" s="85"/>
      <c r="M45" s="85"/>
      <c r="N45" s="85"/>
      <c r="O45" s="85"/>
      <c r="P45" s="85"/>
      <c r="Q45" s="85"/>
      <c r="R45" s="85"/>
    </row>
    <row r="46" spans="1:18" ht="15" x14ac:dyDescent="0.25">
      <c r="A46" s="79">
        <v>37</v>
      </c>
      <c r="B46" s="112"/>
      <c r="C46" s="108"/>
      <c r="D46" s="108"/>
      <c r="E46" s="113"/>
      <c r="F46" s="108"/>
      <c r="G46" s="108"/>
      <c r="H46" s="108"/>
      <c r="I46" s="108"/>
      <c r="J46" s="105"/>
      <c r="K46" s="84"/>
      <c r="L46" s="85"/>
      <c r="M46" s="85"/>
      <c r="N46" s="85"/>
      <c r="O46" s="85"/>
      <c r="P46" s="85"/>
      <c r="Q46" s="85"/>
      <c r="R46" s="85"/>
    </row>
    <row r="47" spans="1:18" ht="15" x14ac:dyDescent="0.25">
      <c r="A47" s="79">
        <v>38</v>
      </c>
      <c r="B47" s="112"/>
      <c r="C47" s="108"/>
      <c r="D47" s="108"/>
      <c r="E47" s="113"/>
      <c r="F47" s="108"/>
      <c r="G47" s="108"/>
      <c r="H47" s="108"/>
      <c r="I47" s="108"/>
      <c r="J47" s="105"/>
      <c r="K47" s="80"/>
      <c r="L47" s="80"/>
      <c r="M47" s="80"/>
      <c r="N47" s="80"/>
      <c r="O47" s="80"/>
      <c r="P47" s="80"/>
      <c r="Q47" s="80"/>
      <c r="R47" s="80"/>
    </row>
    <row r="48" spans="1:18" ht="15" x14ac:dyDescent="0.25">
      <c r="A48" s="79">
        <v>39</v>
      </c>
      <c r="B48" s="112"/>
      <c r="C48" s="108"/>
      <c r="D48" s="108"/>
      <c r="E48" s="113"/>
      <c r="F48" s="108"/>
      <c r="G48" s="108"/>
      <c r="H48" s="108"/>
      <c r="I48" s="108"/>
      <c r="J48" s="111"/>
      <c r="K48" s="80"/>
      <c r="L48" s="80"/>
      <c r="M48" s="80"/>
      <c r="N48" s="80"/>
      <c r="O48" s="80"/>
      <c r="P48" s="80"/>
      <c r="Q48" s="80"/>
      <c r="R48" s="80"/>
    </row>
    <row r="49" spans="1:29" ht="15" x14ac:dyDescent="0.25">
      <c r="A49" s="79">
        <v>40</v>
      </c>
      <c r="B49" s="112"/>
      <c r="C49" s="108"/>
      <c r="D49" s="108"/>
      <c r="E49" s="113"/>
      <c r="F49" s="108"/>
      <c r="G49" s="108"/>
      <c r="H49" s="108"/>
      <c r="I49" s="108"/>
      <c r="J49" s="111"/>
      <c r="K49" s="80"/>
      <c r="L49" s="80"/>
      <c r="M49" s="80"/>
      <c r="N49" s="80"/>
      <c r="O49" s="80"/>
      <c r="P49" s="80"/>
      <c r="Q49" s="80"/>
      <c r="R49" s="80"/>
    </row>
    <row r="50" spans="1:29" ht="15" x14ac:dyDescent="0.25">
      <c r="A50" s="79">
        <v>41</v>
      </c>
      <c r="B50" s="112"/>
      <c r="C50" s="108"/>
      <c r="D50" s="108"/>
      <c r="E50" s="113"/>
      <c r="F50" s="108"/>
      <c r="G50" s="108"/>
      <c r="H50" s="108"/>
      <c r="I50" s="108"/>
      <c r="J50" s="111"/>
      <c r="K50" s="80"/>
      <c r="L50" s="80"/>
      <c r="M50" s="80"/>
      <c r="N50" s="80"/>
      <c r="O50" s="80"/>
      <c r="P50" s="80"/>
      <c r="Q50" s="80"/>
      <c r="R50" s="80"/>
    </row>
    <row r="51" spans="1:29" ht="15" x14ac:dyDescent="0.25">
      <c r="A51" s="79">
        <v>42</v>
      </c>
      <c r="B51" s="112"/>
      <c r="C51" s="108"/>
      <c r="D51" s="108"/>
      <c r="E51" s="113"/>
      <c r="F51" s="108"/>
      <c r="G51" s="108"/>
      <c r="H51" s="108"/>
      <c r="I51" s="108"/>
      <c r="J51" s="111"/>
      <c r="K51" s="80"/>
      <c r="L51" s="80"/>
      <c r="M51" s="80"/>
      <c r="N51" s="80"/>
      <c r="O51" s="80"/>
      <c r="P51" s="80"/>
      <c r="Q51" s="80"/>
      <c r="R51" s="80"/>
    </row>
    <row r="52" spans="1:29" ht="15" x14ac:dyDescent="0.25">
      <c r="A52" s="79">
        <v>43</v>
      </c>
      <c r="B52" s="112"/>
      <c r="C52" s="108"/>
      <c r="D52" s="108"/>
      <c r="E52" s="113"/>
      <c r="F52" s="108"/>
      <c r="G52" s="108"/>
      <c r="H52" s="108"/>
      <c r="I52" s="108"/>
      <c r="J52" s="111"/>
      <c r="K52" s="80"/>
      <c r="L52" s="80"/>
      <c r="M52" s="80"/>
      <c r="N52" s="80"/>
      <c r="O52" s="80"/>
      <c r="P52" s="80"/>
      <c r="Q52" s="80"/>
      <c r="R52" s="80"/>
    </row>
    <row r="53" spans="1:29" ht="15" x14ac:dyDescent="0.25">
      <c r="A53" s="79">
        <v>44</v>
      </c>
      <c r="B53" s="112"/>
      <c r="C53" s="108"/>
      <c r="D53" s="108"/>
      <c r="E53" s="113"/>
      <c r="F53" s="108"/>
      <c r="G53" s="108"/>
      <c r="H53" s="108"/>
      <c r="I53" s="108"/>
      <c r="J53" s="111"/>
      <c r="K53" s="80"/>
      <c r="L53" s="80"/>
      <c r="M53" s="80"/>
      <c r="N53" s="80"/>
      <c r="O53" s="80"/>
      <c r="P53" s="80"/>
      <c r="Q53" s="80"/>
      <c r="R53" s="80"/>
    </row>
    <row r="54" spans="1:29" ht="15" x14ac:dyDescent="0.25">
      <c r="A54" s="79">
        <v>45</v>
      </c>
      <c r="B54" s="112"/>
      <c r="C54" s="108"/>
      <c r="D54" s="108"/>
      <c r="E54" s="113"/>
      <c r="F54" s="108"/>
      <c r="G54" s="108"/>
      <c r="H54" s="108"/>
      <c r="I54" s="108"/>
      <c r="J54" s="111"/>
      <c r="K54" s="80"/>
      <c r="L54" s="80"/>
      <c r="M54" s="80"/>
      <c r="N54" s="80"/>
      <c r="O54" s="80"/>
      <c r="P54" s="80"/>
      <c r="Q54" s="80"/>
      <c r="R54" s="80"/>
    </row>
    <row r="55" spans="1:29" ht="15" x14ac:dyDescent="0.25">
      <c r="A55" s="79">
        <v>46</v>
      </c>
      <c r="B55" s="112"/>
      <c r="C55" s="108"/>
      <c r="D55" s="108"/>
      <c r="E55" s="113"/>
      <c r="F55" s="108"/>
      <c r="G55" s="108"/>
      <c r="H55" s="108"/>
      <c r="I55" s="108"/>
      <c r="J55" s="111"/>
      <c r="K55" s="80"/>
      <c r="L55" s="80"/>
      <c r="M55" s="80"/>
      <c r="N55" s="80"/>
      <c r="O55" s="80"/>
      <c r="P55" s="80"/>
      <c r="Q55" s="80"/>
      <c r="R55" s="80"/>
    </row>
    <row r="56" spans="1:29" ht="15" x14ac:dyDescent="0.25">
      <c r="A56" s="79">
        <v>47</v>
      </c>
      <c r="B56" s="112"/>
      <c r="C56" s="108"/>
      <c r="D56" s="108"/>
      <c r="E56" s="113"/>
      <c r="F56" s="108"/>
      <c r="G56" s="108"/>
      <c r="H56" s="108"/>
      <c r="I56" s="108"/>
      <c r="J56" s="111"/>
      <c r="K56" s="80"/>
      <c r="L56" s="80"/>
      <c r="M56" s="80"/>
      <c r="N56" s="80"/>
      <c r="O56" s="80"/>
      <c r="P56" s="80"/>
      <c r="Q56" s="80"/>
      <c r="R56" s="80"/>
    </row>
    <row r="57" spans="1:29" ht="15" x14ac:dyDescent="0.25">
      <c r="A57" s="79">
        <v>48</v>
      </c>
      <c r="B57" s="112"/>
      <c r="C57" s="108"/>
      <c r="D57" s="108"/>
      <c r="E57" s="113"/>
      <c r="F57" s="108"/>
      <c r="G57" s="108"/>
      <c r="H57" s="108"/>
      <c r="I57" s="108"/>
      <c r="J57" s="111"/>
      <c r="K57" s="80"/>
      <c r="L57" s="80"/>
      <c r="M57" s="80"/>
      <c r="N57" s="80"/>
      <c r="O57" s="80"/>
      <c r="P57" s="80"/>
      <c r="Q57" s="80"/>
      <c r="R57" s="80"/>
    </row>
    <row r="58" spans="1:29" ht="15" x14ac:dyDescent="0.25">
      <c r="A58" s="79">
        <v>49</v>
      </c>
      <c r="B58" s="112"/>
      <c r="C58" s="108"/>
      <c r="D58" s="108"/>
      <c r="E58" s="113"/>
      <c r="F58" s="108"/>
      <c r="G58" s="108"/>
      <c r="H58" s="108"/>
      <c r="I58" s="108"/>
      <c r="J58" s="111"/>
      <c r="K58" s="80"/>
      <c r="L58" s="80"/>
      <c r="M58" s="80"/>
      <c r="N58" s="80"/>
      <c r="O58" s="80"/>
      <c r="P58" s="80"/>
      <c r="Q58" s="80"/>
      <c r="R58" s="80"/>
    </row>
    <row r="59" spans="1:29" ht="15.75" thickBot="1" x14ac:dyDescent="0.3">
      <c r="A59" s="86">
        <v>50</v>
      </c>
      <c r="B59" s="114"/>
      <c r="C59" s="115"/>
      <c r="D59" s="115"/>
      <c r="E59" s="116"/>
      <c r="F59" s="115"/>
      <c r="G59" s="115"/>
      <c r="H59" s="115"/>
      <c r="I59" s="115"/>
      <c r="J59" s="117"/>
      <c r="K59" s="80"/>
      <c r="L59" s="80"/>
      <c r="M59" s="80"/>
      <c r="N59" s="80"/>
      <c r="O59" s="80"/>
      <c r="P59" s="80"/>
      <c r="Q59" s="80"/>
      <c r="R59" s="80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70" t="s">
        <v>26</v>
      </c>
      <c r="C63" s="171"/>
      <c r="D63" s="171"/>
      <c r="E63" s="171"/>
      <c r="F63" s="171"/>
      <c r="G63" s="171"/>
      <c r="H63" s="171"/>
      <c r="I63" s="171"/>
      <c r="J63" s="171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115" si="0">IF((B10&lt;&gt;0)*ISNUMBER(B10),100*(B10/B10),"")</f>
        <v>100</v>
      </c>
      <c r="C66" s="19">
        <f t="shared" ref="C66:C115" si="1">IF((B10&lt;&gt;0)*ISNUMBER(C10),100*(C10/B10),"")</f>
        <v>85.799949248099566</v>
      </c>
      <c r="D66" s="19">
        <f t="shared" ref="D66:D115" si="2">IF((B10&lt;&gt;0)*ISNUMBER(D10),100*(D10/B10),"")</f>
        <v>92.249302161368973</v>
      </c>
      <c r="E66" s="19">
        <f t="shared" ref="E66:E115" si="3">IF((B10&lt;&gt;0)*ISNUMBER(E10),100*(E10/B10),"")</f>
        <v>94.341714752253495</v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100.59768798539778</v>
      </c>
      <c r="D67" s="19">
        <f t="shared" si="2"/>
        <v>105.70988869403384</v>
      </c>
      <c r="E67" s="19">
        <f t="shared" si="3"/>
        <v>113.32951576536271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>IF((B12&lt;&gt;0)*ISNUMBER(B12),100*(B12/B12),"")</f>
        <v>100</v>
      </c>
      <c r="C68" s="19">
        <f>IF((B12&lt;&gt;0)*ISNUMBER(C12),100*(C12/B12),"")</f>
        <v>99.923929156588898</v>
      </c>
      <c r="D68" s="19">
        <f>IF((B12&lt;&gt;0)*ISNUMBER(D12),100*(D12/B12),"")</f>
        <v>93.182882109698056</v>
      </c>
      <c r="E68" s="19">
        <f>IF((B12&lt;&gt;0)*ISNUMBER(E12),100*(E12/B12),"")</f>
        <v>107.3086525708044</v>
      </c>
      <c r="F68" s="19" t="str">
        <f>IF((B12&lt;&gt;0)*ISNUMBER(F12),100*(F12/B12),"")</f>
        <v/>
      </c>
      <c r="G68" s="19" t="str">
        <f>IF((B12&lt;&gt;0)*ISNUMBER(G12),100*(G12/B12),"")</f>
        <v/>
      </c>
      <c r="H68" s="19" t="str">
        <f>IF((B12&lt;&gt;0)*ISNUMBER(H12),100*(H12/B12),"")</f>
        <v/>
      </c>
      <c r="I68" s="19" t="str">
        <f>IF((B12&lt;&gt;0)*ISNUMBER(I12),100*(I12/B12),"")</f>
        <v/>
      </c>
      <c r="J68" s="19" t="str">
        <f>IF((B12&lt;&gt;0)*ISNUMBER(J12),100*(J12/B12),"")</f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/>
      <c r="C69" s="19"/>
      <c r="D69" s="19"/>
      <c r="E69" s="19"/>
      <c r="F69" s="19" t="str">
        <f>IF((B13&lt;&gt;0)*ISNUMBER(F13),100*(F13/B13),"")</f>
        <v/>
      </c>
      <c r="G69" s="19" t="str">
        <f>IF((B13&lt;&gt;0)*ISNUMBER(G13),100*(G13/B13),"")</f>
        <v/>
      </c>
      <c r="H69" s="19" t="str">
        <f>IF((B13&lt;&gt;0)*ISNUMBER(H13),100*(H13/B13),"")</f>
        <v/>
      </c>
      <c r="I69" s="19" t="str">
        <f>IF((B13&lt;&gt;0)*ISNUMBER(I13),100*(I13/B13),"")</f>
        <v/>
      </c>
      <c r="J69" s="19" t="str">
        <f>IF((B13&lt;&gt;0)*ISNUMBER(J13),100*(J13/B13),"")</f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>IF((B14&lt;&gt;0)*ISNUMBER(B14),100*(B14/B14),"")</f>
        <v>100</v>
      </c>
      <c r="C70" s="19">
        <f>IF((B14&lt;&gt;0)*ISNUMBER(C14),100*(C14/B14),"")</f>
        <v>99.571030846685787</v>
      </c>
      <c r="D70" s="19">
        <f>IF((B14&lt;&gt;0)*ISNUMBER(D14),100*(D14/B14),"")</f>
        <v>111.1243182894767</v>
      </c>
      <c r="E70" s="19">
        <f>IF((B14&lt;&gt;0)*ISNUMBER(E14),100*(E14/B14),"")</f>
        <v>114.62008230713559</v>
      </c>
      <c r="F70" s="19" t="str">
        <f>IF((B14&lt;&gt;0)*ISNUMBER(F14),100*(F14/B14),"")</f>
        <v/>
      </c>
      <c r="G70" s="19" t="str">
        <f>IF((B14&lt;&gt;0)*ISNUMBER(G14),100*(G14/B14),"")</f>
        <v/>
      </c>
      <c r="H70" s="19" t="str">
        <f>IF((B14&lt;&gt;0)*ISNUMBER(H14),100*(H14/B14),"")</f>
        <v/>
      </c>
      <c r="I70" s="19" t="str">
        <f>IF((B14&lt;&gt;0)*ISNUMBER(I14),100*(I14/B14),"")</f>
        <v/>
      </c>
      <c r="J70" s="19" t="str">
        <f>IF((B14&lt;&gt;0)*ISNUMBER(J14),100*(J14/B14),"")</f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>IF((B15&lt;&gt;0)*ISNUMBER(B15),100*(B15/B15),"")</f>
        <v>100</v>
      </c>
      <c r="C71" s="19">
        <f>IF((B15&lt;&gt;0)*ISNUMBER(C15),100*(C15/B15),"")</f>
        <v>96.681799422203881</v>
      </c>
      <c r="D71" s="19">
        <f>IF((B15&lt;&gt;0)*ISNUMBER(D15),100*(D15/B15),"")</f>
        <v>100.63351217498968</v>
      </c>
      <c r="E71" s="19">
        <f>IF((B15&lt;&gt;0)*ISNUMBER(E15),100*(E15/B15),"")</f>
        <v>105.07635163021047</v>
      </c>
      <c r="F71" s="19" t="str">
        <f>IF((B15&lt;&gt;0)*ISNUMBER(F15),100*(F15/B15),"")</f>
        <v/>
      </c>
      <c r="G71" s="19" t="str">
        <f>IF((B15&lt;&gt;0)*ISNUMBER(G15),100*(G15/B15),"")</f>
        <v/>
      </c>
      <c r="H71" s="19" t="str">
        <f>IF((B15&lt;&gt;0)*ISNUMBER(H15),100*(H15/B15),"")</f>
        <v/>
      </c>
      <c r="I71" s="19" t="str">
        <f>IF((B15&lt;&gt;0)*ISNUMBER(I15),100*(I15/B15),"")</f>
        <v/>
      </c>
      <c r="J71" s="19" t="str">
        <f>IF((B15&lt;&gt;0)*ISNUMBER(J15),100*(J15/B15),"")</f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>IF((B16&lt;&gt;0)*ISNUMBER(B16),100*(B16/B16),"")</f>
        <v>100</v>
      </c>
      <c r="C72" s="19">
        <f>IF((B16&lt;&gt;0)*ISNUMBER(C16),100*(C16/B16),"")</f>
        <v>103.64230679430307</v>
      </c>
      <c r="D72" s="19">
        <f>IF((B16&lt;&gt;0)*ISNUMBER(D16),100*(D16/B16),"")</f>
        <v>99.670624728995023</v>
      </c>
      <c r="E72" s="19">
        <f>IF((B16&lt;&gt;0)*ISNUMBER(E16),100*(E16/B16),"")</f>
        <v>106.92271772122344</v>
      </c>
      <c r="F72" s="19" t="str">
        <f>IF((B16&lt;&gt;0)*ISNUMBER(F16),100*(F16/B16),"")</f>
        <v/>
      </c>
      <c r="G72" s="19" t="str">
        <f>IF((B16&lt;&gt;0)*ISNUMBER(G16),100*(G16/B16),"")</f>
        <v/>
      </c>
      <c r="H72" s="19" t="str">
        <f>IF((B16&lt;&gt;0)*ISNUMBER(H16),100*(H16/B16),"")</f>
        <v/>
      </c>
      <c r="I72" s="19" t="str">
        <f>IF((B16&lt;&gt;0)*ISNUMBER(I16),100*(I16/B16),"")</f>
        <v/>
      </c>
      <c r="J72" s="19" t="str">
        <f>IF((B16&lt;&gt;0)*ISNUMBER(J16),100*(J16/B16),"")</f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84.315116938837377</v>
      </c>
      <c r="D73" s="19">
        <f t="shared" si="2"/>
        <v>96.660966756569792</v>
      </c>
      <c r="E73" s="19">
        <f t="shared" si="3"/>
        <v>101.07184218503464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86.823256983609426</v>
      </c>
      <c r="D74" s="19">
        <f t="shared" si="2"/>
        <v>98.145257016224051</v>
      </c>
      <c r="E74" s="19">
        <f t="shared" si="3"/>
        <v>98.322577655024674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92.691582068098086</v>
      </c>
      <c r="D75" s="19">
        <f t="shared" si="2"/>
        <v>101.07357829485221</v>
      </c>
      <c r="E75" s="19">
        <f t="shared" si="3"/>
        <v>106.56275267271582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/>
      <c r="C76" s="19"/>
      <c r="D76" s="19"/>
      <c r="E76" s="19"/>
      <c r="F76" s="19"/>
      <c r="G76" s="19" t="str">
        <f t="shared" si="5"/>
        <v/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/>
      <c r="C77" s="19"/>
      <c r="D77" s="19"/>
      <c r="E77" s="19"/>
      <c r="F77" s="19"/>
      <c r="G77" s="19" t="str">
        <f t="shared" si="5"/>
        <v/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/>
      <c r="C78" s="19"/>
      <c r="D78" s="19"/>
      <c r="E78" s="19"/>
      <c r="F78" s="19" t="str">
        <f t="shared" si="4"/>
        <v/>
      </c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0"/>
        <v/>
      </c>
      <c r="C79" s="19" t="str">
        <f t="shared" si="1"/>
        <v/>
      </c>
      <c r="D79" s="19" t="str">
        <f t="shared" si="2"/>
        <v/>
      </c>
      <c r="E79" s="19" t="str">
        <f t="shared" si="3"/>
        <v/>
      </c>
      <c r="F79" s="19" t="str">
        <f t="shared" si="4"/>
        <v/>
      </c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si="1"/>
        <v/>
      </c>
      <c r="D80" s="19" t="str">
        <f t="shared" si="2"/>
        <v/>
      </c>
      <c r="E80" s="19" t="str">
        <f t="shared" si="3"/>
        <v/>
      </c>
      <c r="F80" s="19" t="str">
        <f t="shared" si="4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"/>
        <v/>
      </c>
      <c r="D81" s="19" t="str">
        <f t="shared" si="2"/>
        <v/>
      </c>
      <c r="E81" s="19" t="str">
        <f t="shared" si="3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9"/>
      <c r="L104" s="160"/>
      <c r="M104" s="160"/>
      <c r="N104" s="160"/>
      <c r="O104" s="160"/>
      <c r="P104" s="160"/>
      <c r="Q104" s="160"/>
      <c r="R104" s="160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61"/>
      <c r="L105" s="160"/>
      <c r="M105" s="160"/>
      <c r="N105" s="160"/>
      <c r="O105" s="160"/>
      <c r="P105" s="160"/>
      <c r="Q105" s="160"/>
      <c r="R105" s="160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61"/>
      <c r="L106" s="160"/>
      <c r="M106" s="160"/>
      <c r="N106" s="160"/>
      <c r="O106" s="160"/>
      <c r="P106" s="160"/>
      <c r="Q106" s="160"/>
      <c r="R106" s="160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61"/>
      <c r="L107" s="160"/>
      <c r="M107" s="160"/>
      <c r="N107" s="160"/>
      <c r="O107" s="160"/>
      <c r="P107" s="160"/>
      <c r="Q107" s="160"/>
      <c r="R107" s="160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61"/>
      <c r="L108" s="160"/>
      <c r="M108" s="160"/>
      <c r="N108" s="160"/>
      <c r="O108" s="160"/>
      <c r="P108" s="160"/>
      <c r="Q108" s="160"/>
      <c r="R108" s="160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9">IF(B117&gt;0,AVERAGE(B66:B115),"")</f>
        <v>100</v>
      </c>
      <c r="C116" s="20">
        <f t="shared" si="9"/>
        <v>94.449628827091544</v>
      </c>
      <c r="D116" s="20">
        <f t="shared" si="9"/>
        <v>99.827814469578698</v>
      </c>
      <c r="E116" s="20">
        <f t="shared" si="9"/>
        <v>105.2840230288628</v>
      </c>
      <c r="F116" s="20" t="str">
        <f t="shared" si="9"/>
        <v/>
      </c>
      <c r="G116" s="20" t="str">
        <f t="shared" si="9"/>
        <v/>
      </c>
      <c r="H116" s="20" t="str">
        <f t="shared" si="9"/>
        <v/>
      </c>
      <c r="I116" s="20" t="str">
        <f>IF(I117&gt;0,AVERAGE(I66:I115),"")</f>
        <v/>
      </c>
      <c r="J116" s="20" t="str">
        <f>IF(J117&gt;0,AVERAGE(J66:J115),"")</f>
        <v/>
      </c>
      <c r="K116" s="159" t="s">
        <v>29</v>
      </c>
      <c r="L116" s="160"/>
      <c r="M116" s="160"/>
      <c r="N116" s="160"/>
      <c r="O116" s="160"/>
      <c r="P116" s="160"/>
      <c r="Q116" s="160"/>
      <c r="R116" s="160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9</v>
      </c>
      <c r="C117" s="20">
        <f t="shared" ref="C117:J117" si="10">COUNT(C66:C115)</f>
        <v>9</v>
      </c>
      <c r="D117" s="20">
        <f t="shared" si="10"/>
        <v>9</v>
      </c>
      <c r="E117" s="20">
        <f t="shared" si="10"/>
        <v>9</v>
      </c>
      <c r="F117" s="20">
        <f t="shared" si="10"/>
        <v>0</v>
      </c>
      <c r="G117" s="20">
        <f t="shared" si="10"/>
        <v>0</v>
      </c>
      <c r="H117" s="20">
        <f t="shared" si="10"/>
        <v>0</v>
      </c>
      <c r="I117" s="20">
        <f t="shared" si="10"/>
        <v>0</v>
      </c>
      <c r="J117" s="20">
        <f t="shared" si="10"/>
        <v>0</v>
      </c>
      <c r="K117" s="161"/>
      <c r="L117" s="160"/>
      <c r="M117" s="160"/>
      <c r="N117" s="160"/>
      <c r="O117" s="160"/>
      <c r="P117" s="160"/>
      <c r="Q117" s="160"/>
      <c r="R117" s="160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1">IF(C117&gt;0,STDEV(C66:C115),"")</f>
        <v>7.2651637272214353</v>
      </c>
      <c r="D118" s="20">
        <f t="shared" si="11"/>
        <v>5.9042831862204421</v>
      </c>
      <c r="E118" s="20">
        <f t="shared" si="11"/>
        <v>6.5792569658705968</v>
      </c>
      <c r="F118" s="20" t="str">
        <f t="shared" si="11"/>
        <v/>
      </c>
      <c r="G118" s="20" t="str">
        <f t="shared" si="11"/>
        <v/>
      </c>
      <c r="H118" s="20" t="str">
        <f t="shared" si="11"/>
        <v/>
      </c>
      <c r="I118" s="20" t="str">
        <f>IF(I117&gt;0,STDEV(I66:I115),"")</f>
        <v/>
      </c>
      <c r="J118" s="20" t="str">
        <f>IF(J117&gt;0,STDEV(J66:J115),"")</f>
        <v/>
      </c>
      <c r="K118" s="161"/>
      <c r="L118" s="160"/>
      <c r="M118" s="160"/>
      <c r="N118" s="160"/>
      <c r="O118" s="160"/>
      <c r="P118" s="160"/>
      <c r="Q118" s="160"/>
      <c r="R118" s="160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2">IF(C117&gt;0,C118/SQRT(C117),"")</f>
        <v>2.4217212424071453</v>
      </c>
      <c r="D119" s="20">
        <f t="shared" si="12"/>
        <v>1.968094395406814</v>
      </c>
      <c r="E119" s="20">
        <f t="shared" si="12"/>
        <v>2.1930856552901989</v>
      </c>
      <c r="F119" s="20" t="str">
        <f t="shared" si="12"/>
        <v/>
      </c>
      <c r="G119" s="20" t="str">
        <f t="shared" si="12"/>
        <v/>
      </c>
      <c r="H119" s="20" t="str">
        <f t="shared" si="12"/>
        <v/>
      </c>
      <c r="I119" s="20" t="str">
        <f>IF(I117&gt;0,I118/SQRT(I117),"")</f>
        <v/>
      </c>
      <c r="J119" s="20" t="str">
        <f>IF(J117&gt;0,J118/SQRT(J117),"")</f>
        <v/>
      </c>
      <c r="K119" s="161"/>
      <c r="L119" s="160"/>
      <c r="M119" s="160"/>
      <c r="N119" s="160"/>
      <c r="O119" s="160"/>
      <c r="P119" s="160"/>
      <c r="Q119" s="160"/>
      <c r="R119" s="160"/>
    </row>
    <row r="120" spans="1:29" x14ac:dyDescent="0.2">
      <c r="A120" s="30" t="s">
        <v>15</v>
      </c>
      <c r="B120" s="20">
        <f t="shared" ref="B120:J120" si="13">IF(B117&gt;2,TINV(0.1,B117-1),"")</f>
        <v>1.8595480375308981</v>
      </c>
      <c r="C120" s="20">
        <f t="shared" si="13"/>
        <v>1.8595480375308981</v>
      </c>
      <c r="D120" s="20">
        <f t="shared" si="13"/>
        <v>1.8595480375308981</v>
      </c>
      <c r="E120" s="20">
        <f t="shared" si="13"/>
        <v>1.8595480375308981</v>
      </c>
      <c r="F120" s="20" t="str">
        <f t="shared" si="13"/>
        <v/>
      </c>
      <c r="G120" s="20" t="str">
        <f t="shared" si="13"/>
        <v/>
      </c>
      <c r="H120" s="20" t="str">
        <f t="shared" si="13"/>
        <v/>
      </c>
      <c r="I120" s="20" t="str">
        <f t="shared" si="13"/>
        <v/>
      </c>
      <c r="J120" s="20" t="str">
        <f t="shared" si="13"/>
        <v/>
      </c>
      <c r="K120" s="161"/>
      <c r="L120" s="160"/>
      <c r="M120" s="160"/>
      <c r="N120" s="160"/>
      <c r="O120" s="160"/>
      <c r="P120" s="160"/>
      <c r="Q120" s="160"/>
      <c r="R120" s="160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14">IF(C117&gt;2,C120*C119,"")</f>
        <v>4.5033069837650954</v>
      </c>
      <c r="D121" s="20">
        <f t="shared" si="14"/>
        <v>3.6597660706543005</v>
      </c>
      <c r="E121" s="20">
        <f t="shared" si="14"/>
        <v>4.0781481264320529</v>
      </c>
      <c r="F121" s="20" t="str">
        <f t="shared" si="14"/>
        <v/>
      </c>
      <c r="G121" s="20" t="str">
        <f t="shared" si="14"/>
        <v/>
      </c>
      <c r="H121" s="20" t="str">
        <f t="shared" si="14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15">IF(C117&gt;0,MIN(C66:C115),"")</f>
        <v>84.315116938837377</v>
      </c>
      <c r="D122" s="20">
        <f t="shared" si="15"/>
        <v>92.249302161368973</v>
      </c>
      <c r="E122" s="20">
        <f t="shared" si="15"/>
        <v>94.341714752253495</v>
      </c>
      <c r="F122" s="20" t="str">
        <f t="shared" si="15"/>
        <v/>
      </c>
      <c r="G122" s="20" t="str">
        <f t="shared" si="15"/>
        <v/>
      </c>
      <c r="H122" s="20" t="str">
        <f t="shared" si="15"/>
        <v/>
      </c>
      <c r="I122" s="20" t="str">
        <f t="shared" si="15"/>
        <v/>
      </c>
      <c r="J122" s="20" t="str">
        <f t="shared" si="15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16">IF(C117&gt;0,MAX(C66:C115),"")</f>
        <v>103.64230679430307</v>
      </c>
      <c r="D123" s="20">
        <f t="shared" si="16"/>
        <v>111.1243182894767</v>
      </c>
      <c r="E123" s="20">
        <f t="shared" si="16"/>
        <v>114.62008230713559</v>
      </c>
      <c r="F123" s="20" t="str">
        <f t="shared" si="16"/>
        <v/>
      </c>
      <c r="G123" s="20" t="str">
        <f t="shared" si="16"/>
        <v/>
      </c>
      <c r="H123" s="20" t="str">
        <f t="shared" si="16"/>
        <v/>
      </c>
      <c r="I123" s="20" t="str">
        <f t="shared" si="16"/>
        <v/>
      </c>
      <c r="J123" s="31" t="str">
        <f t="shared" si="16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2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E9827"/>
  <sheetViews>
    <sheetView workbookViewId="0">
      <selection activeCell="U76" sqref="U76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1" t="s">
        <v>94</v>
      </c>
      <c r="J1" s="92"/>
      <c r="K1" s="94" t="s">
        <v>105</v>
      </c>
      <c r="L1" s="92"/>
      <c r="M1" s="92"/>
    </row>
    <row r="2" spans="1:18" x14ac:dyDescent="0.2">
      <c r="A2" s="40" t="s">
        <v>83</v>
      </c>
      <c r="B2" s="40" t="str">
        <f>hiddenSheet!ekr_doktittel</f>
        <v>Holdbarhetsforsøk GADA</v>
      </c>
      <c r="C2" s="40"/>
      <c r="D2" s="40"/>
      <c r="E2" s="40"/>
      <c r="F2" s="40"/>
      <c r="G2" s="40"/>
      <c r="H2" s="40"/>
      <c r="I2" s="91" t="s">
        <v>95</v>
      </c>
      <c r="J2" s="92"/>
      <c r="K2" s="93"/>
      <c r="L2" s="101"/>
      <c r="M2" s="101"/>
      <c r="N2" s="102"/>
      <c r="O2" s="102"/>
      <c r="P2" s="102"/>
    </row>
    <row r="3" spans="1:18" ht="23.25" x14ac:dyDescent="0.35">
      <c r="A3" s="9" t="s">
        <v>13</v>
      </c>
      <c r="B3" s="10"/>
      <c r="C3" s="164" t="s">
        <v>125</v>
      </c>
      <c r="D3" s="165"/>
      <c r="E3" s="165"/>
      <c r="F3" s="165"/>
      <c r="G3" s="165"/>
      <c r="H3" s="165"/>
      <c r="I3" s="165"/>
      <c r="J3" s="165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3"/>
      <c r="B7" s="122" t="s">
        <v>0</v>
      </c>
      <c r="C7" s="122" t="s">
        <v>1</v>
      </c>
      <c r="D7" s="122" t="s">
        <v>2</v>
      </c>
      <c r="E7" s="122" t="s">
        <v>3</v>
      </c>
      <c r="F7" s="122" t="s">
        <v>4</v>
      </c>
      <c r="G7" s="122" t="s">
        <v>5</v>
      </c>
      <c r="H7" s="122" t="s">
        <v>6</v>
      </c>
      <c r="I7" s="122" t="s">
        <v>27</v>
      </c>
      <c r="J7" s="122" t="s">
        <v>28</v>
      </c>
      <c r="K7" s="73"/>
      <c r="L7" s="74"/>
      <c r="M7" s="74"/>
      <c r="N7" s="74"/>
      <c r="O7" s="74"/>
      <c r="P7" s="74"/>
      <c r="Q7" s="74"/>
      <c r="R7" s="74"/>
    </row>
    <row r="8" spans="1:18" ht="15.75" thickBot="1" x14ac:dyDescent="0.3">
      <c r="A8" s="75" t="s">
        <v>12</v>
      </c>
      <c r="B8" s="118">
        <v>0</v>
      </c>
      <c r="C8" s="119">
        <v>72</v>
      </c>
      <c r="D8" s="119">
        <v>120</v>
      </c>
      <c r="E8" s="119">
        <v>168</v>
      </c>
      <c r="F8" s="119"/>
      <c r="G8" s="119"/>
      <c r="H8" s="120"/>
      <c r="I8" s="119"/>
      <c r="J8" s="121"/>
      <c r="K8" s="76"/>
      <c r="L8" s="73"/>
      <c r="M8" s="73"/>
      <c r="N8" s="73"/>
      <c r="O8" s="73"/>
      <c r="P8" s="73"/>
      <c r="Q8" s="73"/>
      <c r="R8" s="73"/>
    </row>
    <row r="9" spans="1:18" ht="15.75" thickBot="1" x14ac:dyDescent="0.3">
      <c r="A9" s="77" t="s">
        <v>20</v>
      </c>
      <c r="B9" s="166" t="s">
        <v>21</v>
      </c>
      <c r="C9" s="167"/>
      <c r="D9" s="167"/>
      <c r="E9" s="167"/>
      <c r="F9" s="167"/>
      <c r="G9" s="167"/>
      <c r="H9" s="167"/>
      <c r="I9" s="168"/>
      <c r="J9" s="169"/>
      <c r="K9" s="76"/>
      <c r="L9" s="73"/>
      <c r="M9" s="73"/>
      <c r="N9" s="73"/>
      <c r="O9" s="73"/>
      <c r="P9" s="73"/>
      <c r="Q9" s="73"/>
      <c r="R9" s="73"/>
    </row>
    <row r="10" spans="1:18" ht="15" x14ac:dyDescent="0.25">
      <c r="A10" s="78">
        <v>1</v>
      </c>
      <c r="B10" s="87">
        <v>18.127400000000002</v>
      </c>
      <c r="C10" s="88">
        <v>16.167899999999999</v>
      </c>
      <c r="D10" s="88">
        <v>16.4084</v>
      </c>
      <c r="E10" s="88">
        <v>16.557500000000001</v>
      </c>
      <c r="F10" s="88"/>
      <c r="G10" s="88"/>
      <c r="H10" s="88"/>
      <c r="I10" s="88"/>
      <c r="J10" s="104"/>
      <c r="K10" s="73"/>
      <c r="L10" s="73"/>
      <c r="M10" s="73"/>
      <c r="N10" s="73"/>
      <c r="O10" s="73"/>
      <c r="P10" s="73"/>
      <c r="Q10" s="73"/>
      <c r="R10" s="73"/>
    </row>
    <row r="11" spans="1:18" ht="15" x14ac:dyDescent="0.25">
      <c r="A11" s="79">
        <v>2</v>
      </c>
      <c r="B11" s="89">
        <v>139.70500000000001</v>
      </c>
      <c r="C11" s="90">
        <v>151.63999999999999</v>
      </c>
      <c r="D11" s="90">
        <v>150.416</v>
      </c>
      <c r="E11" s="90">
        <v>125.706</v>
      </c>
      <c r="F11" s="90"/>
      <c r="G11" s="90"/>
      <c r="H11" s="90"/>
      <c r="I11" s="90"/>
      <c r="J11" s="105"/>
      <c r="K11" s="73"/>
      <c r="L11" s="73"/>
      <c r="M11" s="73"/>
      <c r="N11" s="73"/>
      <c r="O11" s="73"/>
      <c r="P11" s="73"/>
      <c r="Q11" s="73"/>
      <c r="R11" s="73"/>
    </row>
    <row r="12" spans="1:18" ht="15" x14ac:dyDescent="0.25">
      <c r="A12" s="79">
        <v>3</v>
      </c>
      <c r="B12" s="89">
        <v>25.634</v>
      </c>
      <c r="C12" s="90">
        <v>24.160499999999999</v>
      </c>
      <c r="D12" s="90">
        <v>24.651</v>
      </c>
      <c r="E12" s="90">
        <v>25.634499999999999</v>
      </c>
      <c r="F12" s="90"/>
      <c r="G12" s="90"/>
      <c r="H12" s="90"/>
      <c r="I12" s="90"/>
      <c r="J12" s="105"/>
      <c r="K12" s="73"/>
      <c r="L12" s="73"/>
      <c r="M12" s="73"/>
      <c r="N12" s="73"/>
      <c r="O12" s="73"/>
      <c r="P12" s="73"/>
      <c r="Q12" s="73"/>
      <c r="R12" s="73"/>
    </row>
    <row r="13" spans="1:18" ht="15" x14ac:dyDescent="0.25">
      <c r="A13" s="79">
        <v>4</v>
      </c>
      <c r="B13" s="89">
        <v>271.40800000000002</v>
      </c>
      <c r="C13" s="90">
        <v>372.47299999999996</v>
      </c>
      <c r="D13" s="90">
        <v>362.63800000000003</v>
      </c>
      <c r="E13" s="90">
        <v>344.13099999999997</v>
      </c>
      <c r="F13" s="90"/>
      <c r="G13" s="90"/>
      <c r="H13" s="90"/>
      <c r="I13" s="90"/>
      <c r="J13" s="105"/>
      <c r="K13" s="73"/>
      <c r="L13" s="73"/>
      <c r="M13" s="73"/>
      <c r="N13" s="73"/>
      <c r="O13" s="73"/>
      <c r="P13" s="73"/>
      <c r="Q13" s="73"/>
      <c r="R13" s="73"/>
    </row>
    <row r="14" spans="1:18" ht="15" x14ac:dyDescent="0.25">
      <c r="A14" s="79">
        <v>5</v>
      </c>
      <c r="B14" s="89">
        <v>567.87300000000005</v>
      </c>
      <c r="C14" s="90">
        <v>491.76850000000002</v>
      </c>
      <c r="D14" s="90">
        <v>571.726</v>
      </c>
      <c r="E14" s="90">
        <v>599.57099999999991</v>
      </c>
      <c r="F14" s="90"/>
      <c r="G14" s="90"/>
      <c r="H14" s="90"/>
      <c r="I14" s="90"/>
      <c r="J14" s="105"/>
      <c r="K14" s="73"/>
      <c r="L14" s="73"/>
      <c r="M14" s="73"/>
      <c r="N14" s="73"/>
      <c r="O14" s="73"/>
      <c r="P14" s="73"/>
      <c r="Q14" s="73"/>
      <c r="R14" s="73"/>
    </row>
    <row r="15" spans="1:18" ht="15" x14ac:dyDescent="0.25">
      <c r="A15" s="79">
        <v>6</v>
      </c>
      <c r="B15" s="89">
        <v>24.23</v>
      </c>
      <c r="C15" s="90">
        <v>24.997500000000002</v>
      </c>
      <c r="D15" s="90">
        <v>23.933</v>
      </c>
      <c r="E15" s="90">
        <v>24.512</v>
      </c>
      <c r="F15" s="90"/>
      <c r="G15" s="90"/>
      <c r="H15" s="90"/>
      <c r="I15" s="90"/>
      <c r="J15" s="105"/>
      <c r="K15" s="73"/>
      <c r="L15" s="73"/>
      <c r="M15" s="73"/>
      <c r="N15" s="73"/>
      <c r="O15" s="73"/>
      <c r="P15" s="73"/>
      <c r="Q15" s="73"/>
      <c r="R15" s="73"/>
    </row>
    <row r="16" spans="1:18" ht="15" x14ac:dyDescent="0.25">
      <c r="A16" s="79">
        <v>7</v>
      </c>
      <c r="B16" s="89">
        <f>(60.905+59.019)/2</f>
        <v>59.962000000000003</v>
      </c>
      <c r="C16" s="90">
        <f>(56.872+63.85)/2</f>
        <v>60.361000000000004</v>
      </c>
      <c r="D16" s="90">
        <f>(61.518+62.011)/2</f>
        <v>61.764499999999998</v>
      </c>
      <c r="E16" s="90">
        <f>(66.204+66.092)/2</f>
        <v>66.147999999999996</v>
      </c>
      <c r="F16" s="90"/>
      <c r="G16" s="90"/>
      <c r="H16" s="90"/>
      <c r="I16" s="90"/>
      <c r="J16" s="105"/>
      <c r="K16" s="73"/>
      <c r="L16" s="73"/>
      <c r="M16" s="73"/>
      <c r="N16" s="73"/>
      <c r="O16" s="73"/>
      <c r="P16" s="73"/>
      <c r="Q16" s="73"/>
      <c r="R16" s="73"/>
    </row>
    <row r="17" spans="1:18" ht="15" x14ac:dyDescent="0.25">
      <c r="A17" s="79">
        <v>8</v>
      </c>
      <c r="B17" s="89">
        <f>643.285</f>
        <v>643.28499999999997</v>
      </c>
      <c r="C17" s="90">
        <f>(543.32+628.377)/2</f>
        <v>585.84850000000006</v>
      </c>
      <c r="D17" s="90">
        <f>(650.745+582.485)/2</f>
        <v>616.61500000000001</v>
      </c>
      <c r="E17" s="90">
        <f>(676.875+622.727)/2</f>
        <v>649.80099999999993</v>
      </c>
      <c r="F17" s="90"/>
      <c r="G17" s="90"/>
      <c r="H17" s="90"/>
      <c r="I17" s="90"/>
      <c r="J17" s="105"/>
      <c r="K17" s="73"/>
      <c r="L17" s="73"/>
      <c r="M17" s="73"/>
      <c r="N17" s="73"/>
      <c r="O17" s="73"/>
      <c r="P17" s="73"/>
      <c r="Q17" s="73"/>
      <c r="R17" s="73"/>
    </row>
    <row r="18" spans="1:18" ht="15" x14ac:dyDescent="0.25">
      <c r="A18" s="79">
        <v>9</v>
      </c>
      <c r="B18" s="89">
        <f>(585.088+580.033)/2</f>
        <v>582.56050000000005</v>
      </c>
      <c r="C18" s="90">
        <f>(591.835+585.675)/2</f>
        <v>588.755</v>
      </c>
      <c r="D18" s="90">
        <f>(612.032+670.585)/2</f>
        <v>641.30850000000009</v>
      </c>
      <c r="E18" s="90">
        <f>(572.405+608.278)/2</f>
        <v>590.3415</v>
      </c>
      <c r="F18" s="90"/>
      <c r="G18" s="90"/>
      <c r="H18" s="90"/>
      <c r="I18" s="90"/>
      <c r="J18" s="105"/>
      <c r="K18" s="73"/>
      <c r="L18" s="73"/>
      <c r="M18" s="73"/>
      <c r="N18" s="73"/>
      <c r="O18" s="73"/>
      <c r="P18" s="73"/>
      <c r="Q18" s="73"/>
      <c r="R18" s="73"/>
    </row>
    <row r="19" spans="1:18" ht="15" x14ac:dyDescent="0.25">
      <c r="A19" s="79">
        <v>10</v>
      </c>
      <c r="B19" s="89">
        <f>(10.88+11.382)/2</f>
        <v>11.131</v>
      </c>
      <c r="C19" s="90">
        <f>(10.129+10.307)/2</f>
        <v>10.218</v>
      </c>
      <c r="D19" s="90">
        <f>(11.564+11.484)/2</f>
        <v>11.524000000000001</v>
      </c>
      <c r="E19" s="90">
        <f>(10.044+10.781)/2</f>
        <v>10.412500000000001</v>
      </c>
      <c r="F19" s="90"/>
      <c r="G19" s="90"/>
      <c r="H19" s="90"/>
      <c r="I19" s="90"/>
      <c r="J19" s="105"/>
      <c r="K19" s="73"/>
      <c r="L19" s="73"/>
      <c r="M19" s="73"/>
      <c r="N19" s="73"/>
      <c r="O19" s="73"/>
      <c r="P19" s="73"/>
      <c r="Q19" s="73"/>
      <c r="R19" s="73"/>
    </row>
    <row r="20" spans="1:18" ht="15" x14ac:dyDescent="0.25">
      <c r="A20" s="79">
        <v>11</v>
      </c>
      <c r="B20" s="89">
        <v>3.8534999999999999</v>
      </c>
      <c r="C20" s="90">
        <v>3.944</v>
      </c>
      <c r="D20" s="90">
        <v>3.8025000000000002</v>
      </c>
      <c r="E20" s="90">
        <v>3.6105</v>
      </c>
      <c r="F20" s="90"/>
      <c r="G20" s="90"/>
      <c r="H20" s="90"/>
      <c r="I20" s="90"/>
      <c r="J20" s="105"/>
      <c r="K20" s="73"/>
      <c r="L20" s="73"/>
      <c r="M20" s="73"/>
      <c r="N20" s="73"/>
      <c r="O20" s="73"/>
      <c r="P20" s="73"/>
      <c r="Q20" s="73"/>
      <c r="R20" s="73"/>
    </row>
    <row r="21" spans="1:18" ht="15" x14ac:dyDescent="0.25">
      <c r="A21" s="79">
        <v>12</v>
      </c>
      <c r="B21" s="89">
        <v>2.835</v>
      </c>
      <c r="C21" s="90">
        <f>(2.591+3.225)/2</f>
        <v>2.9080000000000004</v>
      </c>
      <c r="D21" s="90">
        <f>(2.754+2.645)/2</f>
        <v>2.6995</v>
      </c>
      <c r="E21" s="90">
        <f>(2.929+2.691)/2</f>
        <v>2.8099999999999996</v>
      </c>
      <c r="F21" s="90"/>
      <c r="G21" s="90"/>
      <c r="H21" s="90"/>
      <c r="I21" s="90"/>
      <c r="J21" s="105"/>
      <c r="K21" s="73"/>
      <c r="L21" s="73"/>
      <c r="M21" s="73"/>
      <c r="N21" s="73"/>
      <c r="O21" s="73"/>
      <c r="P21" s="73"/>
      <c r="Q21" s="73"/>
      <c r="R21" s="73"/>
    </row>
    <row r="22" spans="1:18" ht="15" x14ac:dyDescent="0.25">
      <c r="A22" s="79">
        <v>13</v>
      </c>
      <c r="B22" s="89"/>
      <c r="C22" s="90"/>
      <c r="D22" s="90"/>
      <c r="E22" s="90"/>
      <c r="F22" s="90"/>
      <c r="G22" s="90"/>
      <c r="H22" s="90"/>
      <c r="I22" s="90"/>
      <c r="J22" s="105"/>
      <c r="K22" s="73"/>
      <c r="L22" s="73"/>
      <c r="M22" s="73"/>
      <c r="N22" s="73"/>
      <c r="O22" s="73"/>
      <c r="P22" s="73"/>
      <c r="Q22" s="73"/>
      <c r="R22" s="73"/>
    </row>
    <row r="23" spans="1:18" ht="15" x14ac:dyDescent="0.25">
      <c r="A23" s="79">
        <v>14</v>
      </c>
      <c r="B23" s="89"/>
      <c r="C23" s="90"/>
      <c r="D23" s="90"/>
      <c r="E23" s="90"/>
      <c r="F23" s="90"/>
      <c r="G23" s="90"/>
      <c r="H23" s="90"/>
      <c r="I23" s="90"/>
      <c r="J23" s="105"/>
      <c r="K23" s="73"/>
      <c r="L23" s="73"/>
      <c r="M23" s="73"/>
      <c r="N23" s="73"/>
      <c r="O23" s="73"/>
      <c r="P23" s="73"/>
      <c r="Q23" s="73"/>
      <c r="R23" s="73"/>
    </row>
    <row r="24" spans="1:18" ht="15" x14ac:dyDescent="0.25">
      <c r="A24" s="79">
        <v>15</v>
      </c>
      <c r="B24" s="89"/>
      <c r="C24" s="90"/>
      <c r="D24" s="90"/>
      <c r="E24" s="90"/>
      <c r="F24" s="90"/>
      <c r="G24" s="90"/>
      <c r="H24" s="90"/>
      <c r="I24" s="90"/>
      <c r="J24" s="105"/>
      <c r="K24" s="73"/>
      <c r="L24" s="73"/>
      <c r="M24" s="73"/>
      <c r="N24" s="73"/>
      <c r="O24" s="73"/>
      <c r="P24" s="73"/>
      <c r="Q24" s="73"/>
      <c r="R24" s="73"/>
    </row>
    <row r="25" spans="1:18" ht="15" x14ac:dyDescent="0.25">
      <c r="A25" s="79">
        <v>16</v>
      </c>
      <c r="B25" s="106"/>
      <c r="C25" s="107"/>
      <c r="D25" s="107"/>
      <c r="E25" s="107"/>
      <c r="F25" s="107"/>
      <c r="G25" s="108"/>
      <c r="H25" s="108"/>
      <c r="I25" s="108"/>
      <c r="J25" s="105"/>
      <c r="K25" s="73"/>
      <c r="L25" s="73"/>
      <c r="M25" s="73"/>
      <c r="N25" s="73"/>
      <c r="O25" s="73"/>
      <c r="P25" s="73"/>
      <c r="Q25" s="73"/>
      <c r="R25" s="73"/>
    </row>
    <row r="26" spans="1:18" ht="15" x14ac:dyDescent="0.25">
      <c r="A26" s="79">
        <v>17</v>
      </c>
      <c r="B26" s="106"/>
      <c r="C26" s="107"/>
      <c r="D26" s="107"/>
      <c r="E26" s="107"/>
      <c r="F26" s="107"/>
      <c r="G26" s="108"/>
      <c r="H26" s="108"/>
      <c r="I26" s="108"/>
      <c r="J26" s="105"/>
      <c r="K26" s="73"/>
      <c r="L26" s="73"/>
      <c r="M26" s="73"/>
      <c r="N26" s="73"/>
      <c r="O26" s="73"/>
      <c r="P26" s="73"/>
      <c r="Q26" s="73"/>
      <c r="R26" s="73"/>
    </row>
    <row r="27" spans="1:18" ht="15" x14ac:dyDescent="0.25">
      <c r="A27" s="79">
        <v>18</v>
      </c>
      <c r="B27" s="106"/>
      <c r="C27" s="107"/>
      <c r="D27" s="107"/>
      <c r="E27" s="107"/>
      <c r="F27" s="107"/>
      <c r="G27" s="108"/>
      <c r="H27" s="108"/>
      <c r="I27" s="108"/>
      <c r="J27" s="105"/>
      <c r="K27" s="73"/>
      <c r="L27" s="73"/>
      <c r="M27" s="73"/>
      <c r="N27" s="73"/>
      <c r="O27" s="73"/>
      <c r="P27" s="73"/>
      <c r="Q27" s="73"/>
      <c r="R27" s="73"/>
    </row>
    <row r="28" spans="1:18" ht="15" x14ac:dyDescent="0.25">
      <c r="A28" s="79">
        <v>19</v>
      </c>
      <c r="B28" s="106"/>
      <c r="C28" s="107"/>
      <c r="D28" s="107"/>
      <c r="E28" s="107"/>
      <c r="F28" s="107"/>
      <c r="G28" s="108"/>
      <c r="H28" s="108"/>
      <c r="I28" s="108"/>
      <c r="J28" s="105"/>
      <c r="K28" s="73"/>
      <c r="L28" s="73"/>
      <c r="M28" s="73"/>
      <c r="N28" s="73"/>
      <c r="O28" s="73"/>
      <c r="P28" s="73"/>
      <c r="Q28" s="73"/>
      <c r="R28" s="73"/>
    </row>
    <row r="29" spans="1:18" ht="15" x14ac:dyDescent="0.25">
      <c r="A29" s="79">
        <v>20</v>
      </c>
      <c r="B29" s="106"/>
      <c r="C29" s="107"/>
      <c r="D29" s="107"/>
      <c r="E29" s="107"/>
      <c r="F29" s="107"/>
      <c r="G29" s="108"/>
      <c r="H29" s="108"/>
      <c r="I29" s="108"/>
      <c r="J29" s="105"/>
      <c r="K29" s="73"/>
      <c r="L29" s="73"/>
      <c r="M29" s="73"/>
      <c r="N29" s="73"/>
      <c r="O29" s="73"/>
      <c r="P29" s="73"/>
      <c r="Q29" s="73"/>
      <c r="R29" s="73"/>
    </row>
    <row r="30" spans="1:18" ht="15" x14ac:dyDescent="0.25">
      <c r="A30" s="79">
        <v>21</v>
      </c>
      <c r="B30" s="106"/>
      <c r="C30" s="107"/>
      <c r="D30" s="107"/>
      <c r="E30" s="107"/>
      <c r="F30" s="107"/>
      <c r="G30" s="108"/>
      <c r="H30" s="108"/>
      <c r="I30" s="108"/>
      <c r="J30" s="105"/>
      <c r="K30" s="73"/>
      <c r="L30" s="73"/>
      <c r="M30" s="73"/>
      <c r="N30" s="73"/>
      <c r="O30" s="73"/>
      <c r="P30" s="73"/>
      <c r="Q30" s="73"/>
      <c r="R30" s="73"/>
    </row>
    <row r="31" spans="1:18" ht="15" x14ac:dyDescent="0.25">
      <c r="A31" s="79">
        <v>22</v>
      </c>
      <c r="B31" s="106"/>
      <c r="C31" s="107"/>
      <c r="D31" s="107"/>
      <c r="E31" s="107"/>
      <c r="F31" s="107"/>
      <c r="G31" s="108"/>
      <c r="H31" s="108"/>
      <c r="I31" s="108"/>
      <c r="J31" s="105"/>
      <c r="K31" s="80"/>
      <c r="L31" s="80"/>
      <c r="M31" s="80"/>
      <c r="N31" s="80"/>
      <c r="O31" s="80"/>
      <c r="P31" s="80"/>
      <c r="Q31" s="80"/>
      <c r="R31" s="80"/>
    </row>
    <row r="32" spans="1:18" ht="15" x14ac:dyDescent="0.25">
      <c r="A32" s="79">
        <v>23</v>
      </c>
      <c r="B32" s="106"/>
      <c r="C32" s="107"/>
      <c r="D32" s="107"/>
      <c r="E32" s="107"/>
      <c r="F32" s="107"/>
      <c r="G32" s="108"/>
      <c r="H32" s="108"/>
      <c r="I32" s="108"/>
      <c r="J32" s="105"/>
      <c r="K32" s="80"/>
      <c r="L32" s="80"/>
      <c r="M32" s="80"/>
      <c r="N32" s="80"/>
      <c r="O32" s="80"/>
      <c r="P32" s="80"/>
      <c r="Q32" s="80"/>
      <c r="R32" s="80"/>
    </row>
    <row r="33" spans="1:18" ht="15" x14ac:dyDescent="0.25">
      <c r="A33" s="79">
        <v>24</v>
      </c>
      <c r="B33" s="106"/>
      <c r="C33" s="107"/>
      <c r="D33" s="107"/>
      <c r="E33" s="107"/>
      <c r="F33" s="107"/>
      <c r="G33" s="108"/>
      <c r="H33" s="108"/>
      <c r="I33" s="108"/>
      <c r="J33" s="105"/>
      <c r="K33" s="80"/>
      <c r="L33" s="80"/>
      <c r="M33" s="80"/>
      <c r="N33" s="80"/>
      <c r="O33" s="80"/>
      <c r="P33" s="80"/>
      <c r="Q33" s="80"/>
      <c r="R33" s="80"/>
    </row>
    <row r="34" spans="1:18" ht="15" x14ac:dyDescent="0.25">
      <c r="A34" s="79">
        <v>25</v>
      </c>
      <c r="B34" s="109"/>
      <c r="C34" s="110"/>
      <c r="D34" s="110"/>
      <c r="E34" s="110"/>
      <c r="F34" s="110"/>
      <c r="G34" s="108"/>
      <c r="H34" s="108"/>
      <c r="I34" s="108"/>
      <c r="J34" s="111"/>
      <c r="K34" s="80"/>
      <c r="L34" s="80"/>
      <c r="M34" s="80"/>
      <c r="N34" s="80"/>
      <c r="O34" s="80"/>
      <c r="P34" s="80"/>
      <c r="Q34" s="80"/>
      <c r="R34" s="80"/>
    </row>
    <row r="35" spans="1:18" ht="15" x14ac:dyDescent="0.25">
      <c r="A35" s="79">
        <v>26</v>
      </c>
      <c r="B35" s="109"/>
      <c r="C35" s="110"/>
      <c r="D35" s="110"/>
      <c r="E35" s="110"/>
      <c r="F35" s="110"/>
      <c r="G35" s="108"/>
      <c r="H35" s="108"/>
      <c r="I35" s="108"/>
      <c r="J35" s="111"/>
      <c r="K35" s="80"/>
      <c r="L35" s="80"/>
      <c r="M35" s="80"/>
      <c r="N35" s="80"/>
      <c r="O35" s="80"/>
      <c r="P35" s="80"/>
      <c r="Q35" s="80"/>
      <c r="R35" s="80"/>
    </row>
    <row r="36" spans="1:18" ht="15" x14ac:dyDescent="0.25">
      <c r="A36" s="79">
        <v>27</v>
      </c>
      <c r="B36" s="109"/>
      <c r="C36" s="110"/>
      <c r="D36" s="110"/>
      <c r="E36" s="110"/>
      <c r="F36" s="110"/>
      <c r="G36" s="108"/>
      <c r="H36" s="108"/>
      <c r="I36" s="108"/>
      <c r="J36" s="111"/>
      <c r="K36" s="80"/>
      <c r="L36" s="80"/>
      <c r="M36" s="80"/>
      <c r="N36" s="80"/>
      <c r="O36" s="80"/>
      <c r="P36" s="80"/>
      <c r="Q36" s="80"/>
      <c r="R36" s="80"/>
    </row>
    <row r="37" spans="1:18" ht="15" x14ac:dyDescent="0.25">
      <c r="A37" s="79">
        <v>28</v>
      </c>
      <c r="B37" s="109"/>
      <c r="C37" s="110"/>
      <c r="D37" s="110"/>
      <c r="E37" s="110"/>
      <c r="F37" s="110"/>
      <c r="G37" s="108"/>
      <c r="H37" s="108"/>
      <c r="I37" s="108"/>
      <c r="J37" s="111"/>
      <c r="K37" s="80"/>
      <c r="L37" s="80"/>
      <c r="M37" s="80"/>
      <c r="N37" s="80"/>
      <c r="O37" s="80"/>
      <c r="P37" s="80"/>
      <c r="Q37" s="80"/>
      <c r="R37" s="80"/>
    </row>
    <row r="38" spans="1:18" ht="15" x14ac:dyDescent="0.25">
      <c r="A38" s="79">
        <v>29</v>
      </c>
      <c r="B38" s="109"/>
      <c r="C38" s="110"/>
      <c r="D38" s="110"/>
      <c r="E38" s="110"/>
      <c r="F38" s="110"/>
      <c r="G38" s="108"/>
      <c r="H38" s="108"/>
      <c r="I38" s="108"/>
      <c r="J38" s="111"/>
      <c r="K38" s="80"/>
      <c r="L38" s="80"/>
      <c r="M38" s="80"/>
      <c r="N38" s="80"/>
      <c r="O38" s="80"/>
      <c r="P38" s="80"/>
      <c r="Q38" s="80"/>
      <c r="R38" s="80"/>
    </row>
    <row r="39" spans="1:18" ht="15" customHeight="1" x14ac:dyDescent="0.25">
      <c r="A39" s="79">
        <v>30</v>
      </c>
      <c r="B39" s="109"/>
      <c r="C39" s="110"/>
      <c r="D39" s="110"/>
      <c r="E39" s="110"/>
      <c r="F39" s="110"/>
      <c r="G39" s="108"/>
      <c r="H39" s="108"/>
      <c r="I39" s="108"/>
      <c r="J39" s="111"/>
      <c r="K39" s="81"/>
      <c r="L39" s="82"/>
      <c r="M39" s="82"/>
      <c r="N39" s="82"/>
      <c r="O39" s="82"/>
      <c r="P39" s="82"/>
      <c r="Q39" s="82"/>
      <c r="R39" s="82"/>
    </row>
    <row r="40" spans="1:18" ht="15" x14ac:dyDescent="0.25">
      <c r="A40" s="79">
        <v>31</v>
      </c>
      <c r="B40" s="109"/>
      <c r="C40" s="110"/>
      <c r="D40" s="110"/>
      <c r="E40" s="110"/>
      <c r="F40" s="110"/>
      <c r="G40" s="108"/>
      <c r="H40" s="108"/>
      <c r="I40" s="108"/>
      <c r="J40" s="111"/>
      <c r="K40" s="83"/>
      <c r="L40" s="82"/>
      <c r="M40" s="82"/>
      <c r="N40" s="82"/>
      <c r="O40" s="82"/>
      <c r="P40" s="82"/>
      <c r="Q40" s="82"/>
      <c r="R40" s="82"/>
    </row>
    <row r="41" spans="1:18" ht="15" x14ac:dyDescent="0.25">
      <c r="A41" s="79">
        <v>32</v>
      </c>
      <c r="B41" s="109"/>
      <c r="C41" s="110"/>
      <c r="D41" s="110"/>
      <c r="E41" s="110"/>
      <c r="F41" s="110"/>
      <c r="G41" s="108"/>
      <c r="H41" s="108"/>
      <c r="I41" s="108"/>
      <c r="J41" s="111"/>
      <c r="K41" s="83"/>
      <c r="L41" s="82"/>
      <c r="M41" s="82"/>
      <c r="N41" s="82"/>
      <c r="O41" s="82"/>
      <c r="P41" s="82"/>
      <c r="Q41" s="82"/>
      <c r="R41" s="82"/>
    </row>
    <row r="42" spans="1:18" ht="15" x14ac:dyDescent="0.25">
      <c r="A42" s="79">
        <v>33</v>
      </c>
      <c r="B42" s="109"/>
      <c r="C42" s="110"/>
      <c r="D42" s="110"/>
      <c r="E42" s="110"/>
      <c r="F42" s="110"/>
      <c r="G42" s="108"/>
      <c r="H42" s="108"/>
      <c r="I42" s="108"/>
      <c r="J42" s="111"/>
      <c r="K42" s="162" t="s">
        <v>30</v>
      </c>
      <c r="L42" s="163"/>
      <c r="M42" s="163"/>
      <c r="N42" s="163"/>
      <c r="O42" s="163"/>
      <c r="P42" s="163"/>
      <c r="Q42" s="163"/>
      <c r="R42" s="163"/>
    </row>
    <row r="43" spans="1:18" ht="15" x14ac:dyDescent="0.25">
      <c r="A43" s="79">
        <v>34</v>
      </c>
      <c r="B43" s="109"/>
      <c r="C43" s="110"/>
      <c r="D43" s="110"/>
      <c r="E43" s="110"/>
      <c r="F43" s="110"/>
      <c r="G43" s="108"/>
      <c r="H43" s="108"/>
      <c r="I43" s="108"/>
      <c r="J43" s="111"/>
      <c r="K43" s="84"/>
      <c r="L43" s="85"/>
      <c r="M43" s="85"/>
      <c r="N43" s="85"/>
      <c r="O43" s="85"/>
      <c r="P43" s="85"/>
      <c r="Q43" s="85"/>
      <c r="R43" s="85"/>
    </row>
    <row r="44" spans="1:18" ht="15" x14ac:dyDescent="0.25">
      <c r="A44" s="79">
        <v>35</v>
      </c>
      <c r="B44" s="109"/>
      <c r="C44" s="110"/>
      <c r="D44" s="110"/>
      <c r="E44" s="110"/>
      <c r="F44" s="110"/>
      <c r="G44" s="108"/>
      <c r="H44" s="108"/>
      <c r="I44" s="108"/>
      <c r="J44" s="111"/>
      <c r="K44" s="84"/>
      <c r="L44" s="85"/>
      <c r="M44" s="85"/>
      <c r="N44" s="85"/>
      <c r="O44" s="85"/>
      <c r="P44" s="85"/>
      <c r="Q44" s="85"/>
      <c r="R44" s="85"/>
    </row>
    <row r="45" spans="1:18" ht="15" x14ac:dyDescent="0.25">
      <c r="A45" s="79">
        <v>36</v>
      </c>
      <c r="B45" s="109"/>
      <c r="C45" s="110"/>
      <c r="D45" s="110"/>
      <c r="E45" s="110"/>
      <c r="F45" s="110"/>
      <c r="G45" s="108"/>
      <c r="H45" s="108"/>
      <c r="I45" s="108"/>
      <c r="J45" s="111"/>
      <c r="K45" s="84"/>
      <c r="L45" s="85"/>
      <c r="M45" s="85"/>
      <c r="N45" s="85"/>
      <c r="O45" s="85"/>
      <c r="P45" s="85"/>
      <c r="Q45" s="85"/>
      <c r="R45" s="85"/>
    </row>
    <row r="46" spans="1:18" ht="15" x14ac:dyDescent="0.25">
      <c r="A46" s="79">
        <v>37</v>
      </c>
      <c r="B46" s="112"/>
      <c r="C46" s="108"/>
      <c r="D46" s="108"/>
      <c r="E46" s="113"/>
      <c r="F46" s="108"/>
      <c r="G46" s="108"/>
      <c r="H46" s="108"/>
      <c r="I46" s="108"/>
      <c r="J46" s="105"/>
      <c r="K46" s="84"/>
      <c r="L46" s="85"/>
      <c r="M46" s="85"/>
      <c r="N46" s="85"/>
      <c r="O46" s="85"/>
      <c r="P46" s="85"/>
      <c r="Q46" s="85"/>
      <c r="R46" s="85"/>
    </row>
    <row r="47" spans="1:18" ht="15" x14ac:dyDescent="0.25">
      <c r="A47" s="79">
        <v>38</v>
      </c>
      <c r="B47" s="112"/>
      <c r="C47" s="108"/>
      <c r="D47" s="108"/>
      <c r="E47" s="113"/>
      <c r="F47" s="108"/>
      <c r="G47" s="108"/>
      <c r="H47" s="108"/>
      <c r="I47" s="108"/>
      <c r="J47" s="105"/>
      <c r="K47" s="80"/>
      <c r="L47" s="80"/>
      <c r="M47" s="80"/>
      <c r="N47" s="80"/>
      <c r="O47" s="80"/>
      <c r="P47" s="80"/>
      <c r="Q47" s="80"/>
      <c r="R47" s="80"/>
    </row>
    <row r="48" spans="1:18" ht="15" x14ac:dyDescent="0.25">
      <c r="A48" s="79">
        <v>39</v>
      </c>
      <c r="B48" s="112"/>
      <c r="C48" s="108"/>
      <c r="D48" s="108"/>
      <c r="E48" s="113"/>
      <c r="F48" s="108"/>
      <c r="G48" s="108"/>
      <c r="H48" s="108"/>
      <c r="I48" s="108"/>
      <c r="J48" s="111"/>
      <c r="K48" s="80"/>
      <c r="L48" s="80"/>
      <c r="M48" s="80"/>
      <c r="N48" s="80"/>
      <c r="O48" s="80"/>
      <c r="P48" s="80"/>
      <c r="Q48" s="80"/>
      <c r="R48" s="80"/>
    </row>
    <row r="49" spans="1:29" ht="15" x14ac:dyDescent="0.25">
      <c r="A49" s="79">
        <v>40</v>
      </c>
      <c r="B49" s="112"/>
      <c r="C49" s="108"/>
      <c r="D49" s="108"/>
      <c r="E49" s="113"/>
      <c r="F49" s="108"/>
      <c r="G49" s="108"/>
      <c r="H49" s="108"/>
      <c r="I49" s="108"/>
      <c r="J49" s="111"/>
      <c r="K49" s="80"/>
      <c r="L49" s="80"/>
      <c r="M49" s="80"/>
      <c r="N49" s="80"/>
      <c r="O49" s="80"/>
      <c r="P49" s="80"/>
      <c r="Q49" s="80"/>
      <c r="R49" s="80"/>
    </row>
    <row r="50" spans="1:29" ht="15" x14ac:dyDescent="0.25">
      <c r="A50" s="79">
        <v>41</v>
      </c>
      <c r="B50" s="112"/>
      <c r="C50" s="108"/>
      <c r="D50" s="108"/>
      <c r="E50" s="113"/>
      <c r="F50" s="108"/>
      <c r="G50" s="108"/>
      <c r="H50" s="108"/>
      <c r="I50" s="108"/>
      <c r="J50" s="111"/>
      <c r="K50" s="80"/>
      <c r="L50" s="80"/>
      <c r="M50" s="80"/>
      <c r="N50" s="80"/>
      <c r="O50" s="80"/>
      <c r="P50" s="80"/>
      <c r="Q50" s="80"/>
      <c r="R50" s="80"/>
    </row>
    <row r="51" spans="1:29" ht="15" x14ac:dyDescent="0.25">
      <c r="A51" s="79">
        <v>42</v>
      </c>
      <c r="B51" s="112"/>
      <c r="C51" s="108"/>
      <c r="D51" s="108"/>
      <c r="E51" s="113"/>
      <c r="F51" s="108"/>
      <c r="G51" s="108"/>
      <c r="H51" s="108"/>
      <c r="I51" s="108"/>
      <c r="J51" s="111"/>
      <c r="K51" s="80"/>
      <c r="L51" s="80"/>
      <c r="M51" s="80"/>
      <c r="N51" s="80"/>
      <c r="O51" s="80"/>
      <c r="P51" s="80"/>
      <c r="Q51" s="80"/>
      <c r="R51" s="80"/>
    </row>
    <row r="52" spans="1:29" ht="15" x14ac:dyDescent="0.25">
      <c r="A52" s="79">
        <v>43</v>
      </c>
      <c r="B52" s="112"/>
      <c r="C52" s="108"/>
      <c r="D52" s="108"/>
      <c r="E52" s="113"/>
      <c r="F52" s="108"/>
      <c r="G52" s="108"/>
      <c r="H52" s="108"/>
      <c r="I52" s="108"/>
      <c r="J52" s="111"/>
      <c r="K52" s="80"/>
      <c r="L52" s="80"/>
      <c r="M52" s="80"/>
      <c r="N52" s="80"/>
      <c r="O52" s="80"/>
      <c r="P52" s="80"/>
      <c r="Q52" s="80"/>
      <c r="R52" s="80"/>
    </row>
    <row r="53" spans="1:29" ht="15" x14ac:dyDescent="0.25">
      <c r="A53" s="79">
        <v>44</v>
      </c>
      <c r="B53" s="112"/>
      <c r="C53" s="108"/>
      <c r="D53" s="108"/>
      <c r="E53" s="113"/>
      <c r="F53" s="108"/>
      <c r="G53" s="108"/>
      <c r="H53" s="108"/>
      <c r="I53" s="108"/>
      <c r="J53" s="111"/>
      <c r="K53" s="80"/>
      <c r="L53" s="80"/>
      <c r="M53" s="80"/>
      <c r="N53" s="80"/>
      <c r="O53" s="80"/>
      <c r="P53" s="80"/>
      <c r="Q53" s="80"/>
      <c r="R53" s="80"/>
    </row>
    <row r="54" spans="1:29" ht="15" x14ac:dyDescent="0.25">
      <c r="A54" s="79">
        <v>45</v>
      </c>
      <c r="B54" s="112"/>
      <c r="C54" s="108"/>
      <c r="D54" s="108"/>
      <c r="E54" s="113"/>
      <c r="F54" s="108"/>
      <c r="G54" s="108"/>
      <c r="H54" s="108"/>
      <c r="I54" s="108"/>
      <c r="J54" s="111"/>
      <c r="K54" s="80"/>
      <c r="L54" s="80"/>
      <c r="M54" s="80"/>
      <c r="N54" s="80"/>
      <c r="O54" s="80"/>
      <c r="P54" s="80"/>
      <c r="Q54" s="80"/>
      <c r="R54" s="80"/>
    </row>
    <row r="55" spans="1:29" ht="15" x14ac:dyDescent="0.25">
      <c r="A55" s="79">
        <v>46</v>
      </c>
      <c r="B55" s="112"/>
      <c r="C55" s="108"/>
      <c r="D55" s="108"/>
      <c r="E55" s="113"/>
      <c r="F55" s="108"/>
      <c r="G55" s="108"/>
      <c r="H55" s="108"/>
      <c r="I55" s="108"/>
      <c r="J55" s="111"/>
      <c r="K55" s="80"/>
      <c r="L55" s="80"/>
      <c r="M55" s="80"/>
      <c r="N55" s="80"/>
      <c r="O55" s="80"/>
      <c r="P55" s="80"/>
      <c r="Q55" s="80"/>
      <c r="R55" s="80"/>
    </row>
    <row r="56" spans="1:29" ht="15" x14ac:dyDescent="0.25">
      <c r="A56" s="79">
        <v>47</v>
      </c>
      <c r="B56" s="112"/>
      <c r="C56" s="108"/>
      <c r="D56" s="108"/>
      <c r="E56" s="113"/>
      <c r="F56" s="108"/>
      <c r="G56" s="108"/>
      <c r="H56" s="108"/>
      <c r="I56" s="108"/>
      <c r="J56" s="111"/>
      <c r="K56" s="80"/>
      <c r="L56" s="80"/>
      <c r="M56" s="80"/>
      <c r="N56" s="80"/>
      <c r="O56" s="80"/>
      <c r="P56" s="80"/>
      <c r="Q56" s="80"/>
      <c r="R56" s="80"/>
    </row>
    <row r="57" spans="1:29" ht="15" x14ac:dyDescent="0.25">
      <c r="A57" s="79">
        <v>48</v>
      </c>
      <c r="B57" s="112"/>
      <c r="C57" s="108"/>
      <c r="D57" s="108"/>
      <c r="E57" s="113"/>
      <c r="F57" s="108"/>
      <c r="G57" s="108"/>
      <c r="H57" s="108"/>
      <c r="I57" s="108"/>
      <c r="J57" s="111"/>
      <c r="K57" s="80"/>
      <c r="L57" s="80"/>
      <c r="M57" s="80"/>
      <c r="N57" s="80"/>
      <c r="O57" s="80"/>
      <c r="P57" s="80"/>
      <c r="Q57" s="80"/>
      <c r="R57" s="80"/>
    </row>
    <row r="58" spans="1:29" ht="15" x14ac:dyDescent="0.25">
      <c r="A58" s="79">
        <v>49</v>
      </c>
      <c r="B58" s="112"/>
      <c r="C58" s="108"/>
      <c r="D58" s="108"/>
      <c r="E58" s="113"/>
      <c r="F58" s="108"/>
      <c r="G58" s="108"/>
      <c r="H58" s="108"/>
      <c r="I58" s="108"/>
      <c r="J58" s="111"/>
      <c r="K58" s="80"/>
      <c r="L58" s="80"/>
      <c r="M58" s="80"/>
      <c r="N58" s="80"/>
      <c r="O58" s="80"/>
      <c r="P58" s="80"/>
      <c r="Q58" s="80"/>
      <c r="R58" s="80"/>
    </row>
    <row r="59" spans="1:29" ht="15.75" thickBot="1" x14ac:dyDescent="0.3">
      <c r="A59" s="86">
        <v>50</v>
      </c>
      <c r="B59" s="114"/>
      <c r="C59" s="115"/>
      <c r="D59" s="115"/>
      <c r="E59" s="116"/>
      <c r="F59" s="115"/>
      <c r="G59" s="115"/>
      <c r="H59" s="115"/>
      <c r="I59" s="115"/>
      <c r="J59" s="117"/>
      <c r="K59" s="80"/>
      <c r="L59" s="80"/>
      <c r="M59" s="80"/>
      <c r="N59" s="80"/>
      <c r="O59" s="80"/>
      <c r="P59" s="80"/>
      <c r="Q59" s="80"/>
      <c r="R59" s="80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70" t="s">
        <v>26</v>
      </c>
      <c r="C63" s="171"/>
      <c r="D63" s="171"/>
      <c r="E63" s="171"/>
      <c r="F63" s="171"/>
      <c r="G63" s="171"/>
      <c r="H63" s="171"/>
      <c r="I63" s="171"/>
      <c r="J63" s="171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115" si="0">IF((B10&lt;&gt;0)*ISNUMBER(B10),100*(B10/B10),"")</f>
        <v>100</v>
      </c>
      <c r="C66" s="19">
        <f t="shared" ref="C66:C115" si="1">IF((B10&lt;&gt;0)*ISNUMBER(C10),100*(C10/B10),"")</f>
        <v>89.190396857795378</v>
      </c>
      <c r="D66" s="19">
        <f t="shared" ref="D66:D115" si="2">IF((B10&lt;&gt;0)*ISNUMBER(D10),100*(D10/B10),"")</f>
        <v>90.517117733375983</v>
      </c>
      <c r="E66" s="19">
        <f t="shared" ref="E66:E115" si="3">IF((B10&lt;&gt;0)*ISNUMBER(E10),100*(E10/B10),"")</f>
        <v>91.339629511126802</v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108.54300132421888</v>
      </c>
      <c r="D67" s="19">
        <f t="shared" si="2"/>
        <v>107.66686947496508</v>
      </c>
      <c r="E67" s="19">
        <f t="shared" si="3"/>
        <v>89.979599871157077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94.251774986346248</v>
      </c>
      <c r="D68" s="19">
        <f t="shared" si="2"/>
        <v>96.165249278302255</v>
      </c>
      <c r="E68" s="19">
        <f t="shared" si="3"/>
        <v>100.00195053444642</v>
      </c>
      <c r="F68" s="19" t="str">
        <f t="shared" si="4"/>
        <v/>
      </c>
      <c r="G68" s="19" t="str">
        <f t="shared" si="5"/>
        <v/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/>
      <c r="C69" s="19"/>
      <c r="D69" s="19"/>
      <c r="E69" s="19"/>
      <c r="F69" s="19"/>
      <c r="G69" s="19" t="str">
        <f t="shared" si="5"/>
        <v/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86.598323921017553</v>
      </c>
      <c r="D70" s="19">
        <f t="shared" si="2"/>
        <v>100.678496776568</v>
      </c>
      <c r="E70" s="19">
        <f t="shared" si="3"/>
        <v>105.58188186443094</v>
      </c>
      <c r="F70" s="19" t="str">
        <f t="shared" si="4"/>
        <v/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 t="shared" si="0"/>
        <v>100</v>
      </c>
      <c r="C71" s="19">
        <f t="shared" si="1"/>
        <v>103.16756087494842</v>
      </c>
      <c r="D71" s="19">
        <f t="shared" si="2"/>
        <v>98.774246801485759</v>
      </c>
      <c r="E71" s="19">
        <f t="shared" si="3"/>
        <v>101.16384647131656</v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100.66542143357459</v>
      </c>
      <c r="D72" s="19">
        <f t="shared" si="2"/>
        <v>103.00607051132383</v>
      </c>
      <c r="E72" s="19">
        <f t="shared" si="3"/>
        <v>110.316533804743</v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91.071375828753986</v>
      </c>
      <c r="D73" s="19">
        <f t="shared" si="2"/>
        <v>95.854092664992976</v>
      </c>
      <c r="E73" s="19">
        <f t="shared" si="3"/>
        <v>101.01292584157878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101.06332303683479</v>
      </c>
      <c r="D74" s="19">
        <f t="shared" si="2"/>
        <v>110.08444616481894</v>
      </c>
      <c r="E74" s="19">
        <f t="shared" si="3"/>
        <v>101.3356552667062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91.797682148953371</v>
      </c>
      <c r="D75" s="19">
        <f t="shared" si="2"/>
        <v>103.53068008265205</v>
      </c>
      <c r="E75" s="19">
        <f t="shared" si="3"/>
        <v>93.545054352708661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/>
      <c r="C76" s="19"/>
      <c r="D76" s="19"/>
      <c r="E76" s="19"/>
      <c r="F76" s="19"/>
      <c r="G76" s="19"/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/>
      <c r="C77" s="19"/>
      <c r="D77" s="19"/>
      <c r="E77" s="19"/>
      <c r="F77" s="19"/>
      <c r="G77" s="19" t="str">
        <f t="shared" si="5"/>
        <v/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/>
      <c r="C78" s="19"/>
      <c r="D78" s="19"/>
      <c r="E78" s="19"/>
      <c r="F78" s="19"/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0"/>
        <v/>
      </c>
      <c r="C79" s="19" t="str">
        <f t="shared" si="1"/>
        <v/>
      </c>
      <c r="D79" s="19" t="str">
        <f t="shared" si="2"/>
        <v/>
      </c>
      <c r="E79" s="19" t="str">
        <f t="shared" si="3"/>
        <v/>
      </c>
      <c r="F79" s="19" t="str">
        <f t="shared" si="4"/>
        <v/>
      </c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si="1"/>
        <v/>
      </c>
      <c r="D80" s="19" t="str">
        <f t="shared" si="2"/>
        <v/>
      </c>
      <c r="E80" s="19" t="str">
        <f t="shared" si="3"/>
        <v/>
      </c>
      <c r="F80" s="19" t="str">
        <f t="shared" si="4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"/>
        <v/>
      </c>
      <c r="D81" s="19" t="str">
        <f t="shared" si="2"/>
        <v/>
      </c>
      <c r="E81" s="19" t="str">
        <f t="shared" si="3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9"/>
      <c r="L104" s="160"/>
      <c r="M104" s="160"/>
      <c r="N104" s="160"/>
      <c r="O104" s="160"/>
      <c r="P104" s="160"/>
      <c r="Q104" s="160"/>
      <c r="R104" s="160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61"/>
      <c r="L105" s="160"/>
      <c r="M105" s="160"/>
      <c r="N105" s="160"/>
      <c r="O105" s="160"/>
      <c r="P105" s="160"/>
      <c r="Q105" s="160"/>
      <c r="R105" s="160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61"/>
      <c r="L106" s="160"/>
      <c r="M106" s="160"/>
      <c r="N106" s="160"/>
      <c r="O106" s="160"/>
      <c r="P106" s="160"/>
      <c r="Q106" s="160"/>
      <c r="R106" s="160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61"/>
      <c r="L107" s="160"/>
      <c r="M107" s="160"/>
      <c r="N107" s="160"/>
      <c r="O107" s="160"/>
      <c r="P107" s="160"/>
      <c r="Q107" s="160"/>
      <c r="R107" s="160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61"/>
      <c r="L108" s="160"/>
      <c r="M108" s="160"/>
      <c r="N108" s="160"/>
      <c r="O108" s="160"/>
      <c r="P108" s="160"/>
      <c r="Q108" s="160"/>
      <c r="R108" s="160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9">IF(B117&gt;0,AVERAGE(B66:B115),"")</f>
        <v>100</v>
      </c>
      <c r="C116" s="20">
        <f t="shared" si="9"/>
        <v>96.260984490271483</v>
      </c>
      <c r="D116" s="20">
        <f t="shared" si="9"/>
        <v>100.69747438760945</v>
      </c>
      <c r="E116" s="20">
        <f t="shared" si="9"/>
        <v>99.364119724246052</v>
      </c>
      <c r="F116" s="20" t="str">
        <f t="shared" si="9"/>
        <v/>
      </c>
      <c r="G116" s="20" t="str">
        <f t="shared" si="9"/>
        <v/>
      </c>
      <c r="H116" s="20" t="str">
        <f t="shared" si="9"/>
        <v/>
      </c>
      <c r="I116" s="20" t="str">
        <f>IF(I117&gt;0,AVERAGE(I66:I115),"")</f>
        <v/>
      </c>
      <c r="J116" s="20" t="str">
        <f>IF(J117&gt;0,AVERAGE(J66:J115),"")</f>
        <v/>
      </c>
      <c r="K116" s="159" t="s">
        <v>29</v>
      </c>
      <c r="L116" s="160"/>
      <c r="M116" s="160"/>
      <c r="N116" s="160"/>
      <c r="O116" s="160"/>
      <c r="P116" s="160"/>
      <c r="Q116" s="160"/>
      <c r="R116" s="160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9</v>
      </c>
      <c r="C117" s="20">
        <f t="shared" ref="C117:J117" si="10">COUNT(C66:C115)</f>
        <v>9</v>
      </c>
      <c r="D117" s="20">
        <f t="shared" si="10"/>
        <v>9</v>
      </c>
      <c r="E117" s="20">
        <f t="shared" si="10"/>
        <v>9</v>
      </c>
      <c r="F117" s="20">
        <f t="shared" si="10"/>
        <v>0</v>
      </c>
      <c r="G117" s="20">
        <f t="shared" si="10"/>
        <v>0</v>
      </c>
      <c r="H117" s="20">
        <f t="shared" si="10"/>
        <v>0</v>
      </c>
      <c r="I117" s="20">
        <f t="shared" si="10"/>
        <v>0</v>
      </c>
      <c r="J117" s="20">
        <f t="shared" si="10"/>
        <v>0</v>
      </c>
      <c r="K117" s="161"/>
      <c r="L117" s="160"/>
      <c r="M117" s="160"/>
      <c r="N117" s="160"/>
      <c r="O117" s="160"/>
      <c r="P117" s="160"/>
      <c r="Q117" s="160"/>
      <c r="R117" s="160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1">IF(C117&gt;0,STDEV(C66:C115),"")</f>
        <v>7.3761482376949354</v>
      </c>
      <c r="D118" s="20">
        <f t="shared" si="11"/>
        <v>6.1378193874146874</v>
      </c>
      <c r="E118" s="20">
        <f t="shared" si="11"/>
        <v>6.6632431723277321</v>
      </c>
      <c r="F118" s="20" t="str">
        <f t="shared" si="11"/>
        <v/>
      </c>
      <c r="G118" s="20" t="str">
        <f t="shared" si="11"/>
        <v/>
      </c>
      <c r="H118" s="20" t="str">
        <f t="shared" si="11"/>
        <v/>
      </c>
      <c r="I118" s="20" t="str">
        <f>IF(I117&gt;0,STDEV(I66:I115),"")</f>
        <v/>
      </c>
      <c r="J118" s="20" t="str">
        <f>IF(J117&gt;0,STDEV(J66:J115),"")</f>
        <v/>
      </c>
      <c r="K118" s="161"/>
      <c r="L118" s="160"/>
      <c r="M118" s="160"/>
      <c r="N118" s="160"/>
      <c r="O118" s="160"/>
      <c r="P118" s="160"/>
      <c r="Q118" s="160"/>
      <c r="R118" s="160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2">IF(C117&gt;0,C118/SQRT(C117),"")</f>
        <v>2.4587160792316451</v>
      </c>
      <c r="D119" s="20">
        <f t="shared" si="12"/>
        <v>2.0459397958048959</v>
      </c>
      <c r="E119" s="20">
        <f t="shared" si="12"/>
        <v>2.2210810574425772</v>
      </c>
      <c r="F119" s="20" t="str">
        <f t="shared" si="12"/>
        <v/>
      </c>
      <c r="G119" s="20" t="str">
        <f t="shared" si="12"/>
        <v/>
      </c>
      <c r="H119" s="20" t="str">
        <f t="shared" si="12"/>
        <v/>
      </c>
      <c r="I119" s="20" t="str">
        <f>IF(I117&gt;0,I118/SQRT(I117),"")</f>
        <v/>
      </c>
      <c r="J119" s="20" t="str">
        <f>IF(J117&gt;0,J118/SQRT(J117),"")</f>
        <v/>
      </c>
      <c r="K119" s="161"/>
      <c r="L119" s="160"/>
      <c r="M119" s="160"/>
      <c r="N119" s="160"/>
      <c r="O119" s="160"/>
      <c r="P119" s="160"/>
      <c r="Q119" s="160"/>
      <c r="R119" s="160"/>
    </row>
    <row r="120" spans="1:29" x14ac:dyDescent="0.2">
      <c r="A120" s="30" t="s">
        <v>15</v>
      </c>
      <c r="B120" s="20">
        <f t="shared" ref="B120:J120" si="13">IF(B117&gt;2,TINV(0.1,B117-1),"")</f>
        <v>1.8595480375308981</v>
      </c>
      <c r="C120" s="20">
        <f t="shared" si="13"/>
        <v>1.8595480375308981</v>
      </c>
      <c r="D120" s="20">
        <f t="shared" si="13"/>
        <v>1.8595480375308981</v>
      </c>
      <c r="E120" s="20">
        <f t="shared" si="13"/>
        <v>1.8595480375308981</v>
      </c>
      <c r="F120" s="20" t="str">
        <f t="shared" si="13"/>
        <v/>
      </c>
      <c r="G120" s="20" t="str">
        <f t="shared" si="13"/>
        <v/>
      </c>
      <c r="H120" s="20" t="str">
        <f t="shared" si="13"/>
        <v/>
      </c>
      <c r="I120" s="20" t="str">
        <f t="shared" si="13"/>
        <v/>
      </c>
      <c r="J120" s="20" t="str">
        <f t="shared" si="13"/>
        <v/>
      </c>
      <c r="K120" s="161"/>
      <c r="L120" s="160"/>
      <c r="M120" s="160"/>
      <c r="N120" s="160"/>
      <c r="O120" s="160"/>
      <c r="P120" s="160"/>
      <c r="Q120" s="160"/>
      <c r="R120" s="160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14">IF(C117&gt;2,C120*C119,"")</f>
        <v>4.5721006599808698</v>
      </c>
      <c r="D121" s="20">
        <f t="shared" si="14"/>
        <v>3.8045233321953607</v>
      </c>
      <c r="E121" s="20">
        <f t="shared" si="14"/>
        <v>4.1302069215643966</v>
      </c>
      <c r="F121" s="20" t="str">
        <f t="shared" si="14"/>
        <v/>
      </c>
      <c r="G121" s="20" t="str">
        <f t="shared" si="14"/>
        <v/>
      </c>
      <c r="H121" s="20" t="str">
        <f t="shared" si="14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15">IF(C117&gt;0,MIN(C66:C115),"")</f>
        <v>86.598323921017553</v>
      </c>
      <c r="D122" s="20">
        <f t="shared" si="15"/>
        <v>90.517117733375983</v>
      </c>
      <c r="E122" s="20">
        <f t="shared" si="15"/>
        <v>89.979599871157077</v>
      </c>
      <c r="F122" s="20" t="str">
        <f t="shared" si="15"/>
        <v/>
      </c>
      <c r="G122" s="20" t="str">
        <f t="shared" si="15"/>
        <v/>
      </c>
      <c r="H122" s="20" t="str">
        <f t="shared" si="15"/>
        <v/>
      </c>
      <c r="I122" s="20" t="str">
        <f t="shared" si="15"/>
        <v/>
      </c>
      <c r="J122" s="20" t="str">
        <f t="shared" si="15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16">IF(C117&gt;0,MAX(C66:C115),"")</f>
        <v>108.54300132421888</v>
      </c>
      <c r="D123" s="20">
        <f t="shared" si="16"/>
        <v>110.08444616481894</v>
      </c>
      <c r="E123" s="20">
        <f t="shared" si="16"/>
        <v>110.316533804743</v>
      </c>
      <c r="F123" s="20" t="str">
        <f t="shared" si="16"/>
        <v/>
      </c>
      <c r="G123" s="20" t="str">
        <f t="shared" si="16"/>
        <v/>
      </c>
      <c r="H123" s="20" t="str">
        <f t="shared" si="16"/>
        <v/>
      </c>
      <c r="I123" s="20" t="str">
        <f t="shared" si="16"/>
        <v/>
      </c>
      <c r="J123" s="31" t="str">
        <f t="shared" si="16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1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EE9827"/>
  <sheetViews>
    <sheetView workbookViewId="0">
      <selection activeCell="U69" sqref="U69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1" t="s">
        <v>94</v>
      </c>
      <c r="J1" s="92"/>
      <c r="K1" s="94" t="s">
        <v>105</v>
      </c>
      <c r="L1" s="92"/>
      <c r="M1" s="92"/>
    </row>
    <row r="2" spans="1:18" x14ac:dyDescent="0.2">
      <c r="A2" s="40" t="s">
        <v>83</v>
      </c>
      <c r="B2" s="40" t="str">
        <f>hiddenSheet!ekr_doktittel</f>
        <v>Holdbarhetsforsøk GADA</v>
      </c>
      <c r="C2" s="40"/>
      <c r="D2" s="40"/>
      <c r="E2" s="40"/>
      <c r="F2" s="40"/>
      <c r="G2" s="40"/>
      <c r="H2" s="40"/>
      <c r="I2" s="91" t="s">
        <v>95</v>
      </c>
      <c r="J2" s="92"/>
      <c r="K2" s="93"/>
      <c r="L2" s="101"/>
      <c r="M2" s="101"/>
      <c r="N2" s="102"/>
      <c r="O2" s="102"/>
      <c r="P2" s="102"/>
    </row>
    <row r="3" spans="1:18" ht="23.25" x14ac:dyDescent="0.35">
      <c r="A3" s="9" t="s">
        <v>13</v>
      </c>
      <c r="B3" s="10"/>
      <c r="C3" s="164" t="s">
        <v>125</v>
      </c>
      <c r="D3" s="165"/>
      <c r="E3" s="165"/>
      <c r="F3" s="165"/>
      <c r="G3" s="165"/>
      <c r="H3" s="165"/>
      <c r="I3" s="165"/>
      <c r="J3" s="165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3"/>
      <c r="B7" s="122" t="s">
        <v>0</v>
      </c>
      <c r="C7" s="122" t="s">
        <v>1</v>
      </c>
      <c r="D7" s="122" t="s">
        <v>2</v>
      </c>
      <c r="E7" s="122" t="s">
        <v>3</v>
      </c>
      <c r="F7" s="122" t="s">
        <v>4</v>
      </c>
      <c r="G7" s="122" t="s">
        <v>5</v>
      </c>
      <c r="H7" s="122" t="s">
        <v>6</v>
      </c>
      <c r="I7" s="122" t="s">
        <v>27</v>
      </c>
      <c r="J7" s="122" t="s">
        <v>28</v>
      </c>
      <c r="K7" s="73"/>
      <c r="L7" s="74"/>
      <c r="M7" s="74"/>
      <c r="N7" s="74"/>
      <c r="O7" s="74"/>
      <c r="P7" s="74"/>
      <c r="Q7" s="74"/>
      <c r="R7" s="74"/>
    </row>
    <row r="8" spans="1:18" ht="15.75" thickBot="1" x14ac:dyDescent="0.3">
      <c r="A8" s="75" t="s">
        <v>12</v>
      </c>
      <c r="B8" s="118">
        <v>0</v>
      </c>
      <c r="C8" s="119">
        <v>72</v>
      </c>
      <c r="D8" s="119">
        <v>120</v>
      </c>
      <c r="E8" s="119">
        <v>168</v>
      </c>
      <c r="F8" s="119"/>
      <c r="G8" s="119"/>
      <c r="H8" s="120"/>
      <c r="I8" s="119"/>
      <c r="J8" s="121"/>
      <c r="K8" s="76"/>
      <c r="L8" s="73"/>
      <c r="M8" s="73"/>
      <c r="N8" s="73"/>
      <c r="O8" s="73"/>
      <c r="P8" s="73"/>
      <c r="Q8" s="73"/>
      <c r="R8" s="73"/>
    </row>
    <row r="9" spans="1:18" ht="15.75" thickBot="1" x14ac:dyDescent="0.3">
      <c r="A9" s="77" t="s">
        <v>20</v>
      </c>
      <c r="B9" s="166" t="s">
        <v>21</v>
      </c>
      <c r="C9" s="167"/>
      <c r="D9" s="167"/>
      <c r="E9" s="167"/>
      <c r="F9" s="167"/>
      <c r="G9" s="167"/>
      <c r="H9" s="167"/>
      <c r="I9" s="168"/>
      <c r="J9" s="169"/>
      <c r="K9" s="76"/>
      <c r="L9" s="73"/>
      <c r="M9" s="73"/>
      <c r="N9" s="73"/>
      <c r="O9" s="73"/>
      <c r="P9" s="73"/>
      <c r="Q9" s="73"/>
      <c r="R9" s="73"/>
    </row>
    <row r="10" spans="1:18" ht="15" x14ac:dyDescent="0.25">
      <c r="A10" s="78">
        <v>1</v>
      </c>
      <c r="B10" s="87">
        <v>18.126999999999999</v>
      </c>
      <c r="C10" s="88">
        <v>15.561500000000001</v>
      </c>
      <c r="D10" s="88">
        <v>16.450099999999999</v>
      </c>
      <c r="E10" s="88">
        <v>17.307500000000001</v>
      </c>
      <c r="F10" s="88"/>
      <c r="G10" s="88"/>
      <c r="H10" s="88"/>
      <c r="I10" s="88"/>
      <c r="J10" s="104"/>
      <c r="K10" s="73"/>
      <c r="L10" s="73"/>
      <c r="M10" s="73"/>
      <c r="N10" s="73"/>
      <c r="O10" s="73"/>
      <c r="P10" s="73"/>
      <c r="Q10" s="73"/>
      <c r="R10" s="73"/>
    </row>
    <row r="11" spans="1:18" ht="15" x14ac:dyDescent="0.25">
      <c r="A11" s="79">
        <v>2</v>
      </c>
      <c r="B11" s="89">
        <v>139.70500000000001</v>
      </c>
      <c r="C11" s="90">
        <v>140.209</v>
      </c>
      <c r="D11" s="90">
        <v>139.43199999999999</v>
      </c>
      <c r="E11" s="90">
        <v>128.38</v>
      </c>
      <c r="F11" s="90"/>
      <c r="G11" s="90"/>
      <c r="H11" s="90"/>
      <c r="I11" s="90"/>
      <c r="J11" s="105"/>
      <c r="K11" s="73"/>
      <c r="L11" s="73"/>
      <c r="M11" s="73"/>
      <c r="N11" s="73"/>
      <c r="O11" s="73"/>
      <c r="P11" s="73"/>
      <c r="Q11" s="73"/>
      <c r="R11" s="73"/>
    </row>
    <row r="12" spans="1:18" ht="15" x14ac:dyDescent="0.25">
      <c r="A12" s="79">
        <v>3</v>
      </c>
      <c r="B12" s="89">
        <v>25.634</v>
      </c>
      <c r="C12" s="90">
        <v>26.460999999999999</v>
      </c>
      <c r="D12" s="90">
        <v>27.278500000000001</v>
      </c>
      <c r="E12" s="90">
        <v>26.169</v>
      </c>
      <c r="F12" s="90"/>
      <c r="G12" s="90"/>
      <c r="H12" s="90"/>
      <c r="I12" s="90"/>
      <c r="J12" s="105"/>
      <c r="K12" s="73"/>
      <c r="L12" s="73"/>
      <c r="M12" s="73"/>
      <c r="N12" s="73"/>
      <c r="O12" s="73"/>
      <c r="P12" s="73"/>
      <c r="Q12" s="73"/>
      <c r="R12" s="73"/>
    </row>
    <row r="13" spans="1:18" ht="15" x14ac:dyDescent="0.25">
      <c r="A13" s="79">
        <v>4</v>
      </c>
      <c r="B13" s="89">
        <v>271.40800000000002</v>
      </c>
      <c r="C13" s="90">
        <v>298.01099999999997</v>
      </c>
      <c r="D13" s="90">
        <v>340.51600000000002</v>
      </c>
      <c r="E13" s="90">
        <v>330.91949999999997</v>
      </c>
      <c r="F13" s="90"/>
      <c r="G13" s="90"/>
      <c r="H13" s="90"/>
      <c r="I13" s="90"/>
      <c r="J13" s="105"/>
      <c r="K13" s="73"/>
      <c r="L13" s="73"/>
      <c r="M13" s="73"/>
      <c r="N13" s="73"/>
      <c r="O13" s="73"/>
      <c r="P13" s="73"/>
      <c r="Q13" s="73"/>
      <c r="R13" s="73"/>
    </row>
    <row r="14" spans="1:18" ht="15" x14ac:dyDescent="0.25">
      <c r="A14" s="79">
        <v>5</v>
      </c>
      <c r="B14" s="89">
        <v>567.87300000000005</v>
      </c>
      <c r="C14" s="90">
        <v>501.96950000000004</v>
      </c>
      <c r="D14" s="90">
        <v>627.13750000000005</v>
      </c>
      <c r="E14" s="90">
        <v>592.24800000000005</v>
      </c>
      <c r="F14" s="90"/>
      <c r="G14" s="90"/>
      <c r="H14" s="90"/>
      <c r="I14" s="90"/>
      <c r="J14" s="105"/>
      <c r="K14" s="73"/>
      <c r="L14" s="73"/>
      <c r="M14" s="73"/>
      <c r="N14" s="73"/>
      <c r="O14" s="73"/>
      <c r="P14" s="73"/>
      <c r="Q14" s="73"/>
      <c r="R14" s="73"/>
    </row>
    <row r="15" spans="1:18" ht="15" x14ac:dyDescent="0.25">
      <c r="A15" s="79">
        <v>6</v>
      </c>
      <c r="B15" s="89">
        <v>24.23</v>
      </c>
      <c r="C15" s="90">
        <v>22.352499999999999</v>
      </c>
      <c r="D15" s="90">
        <v>23.349499999999999</v>
      </c>
      <c r="E15" s="90">
        <v>24.718499999999999</v>
      </c>
      <c r="F15" s="90"/>
      <c r="G15" s="90"/>
      <c r="H15" s="90"/>
      <c r="I15" s="90"/>
      <c r="J15" s="105"/>
      <c r="K15" s="73"/>
      <c r="L15" s="73"/>
      <c r="M15" s="73"/>
      <c r="N15" s="73"/>
      <c r="O15" s="73"/>
      <c r="P15" s="73"/>
      <c r="Q15" s="73"/>
      <c r="R15" s="73"/>
    </row>
    <row r="16" spans="1:18" ht="15" x14ac:dyDescent="0.25">
      <c r="A16" s="79">
        <v>7</v>
      </c>
      <c r="B16" s="89">
        <f>(60.905+59.019)/2</f>
        <v>59.962000000000003</v>
      </c>
      <c r="C16" s="90">
        <f>(61.795+60.971)/2</f>
        <v>61.382999999999996</v>
      </c>
      <c r="D16" s="90">
        <f>(60.307+58.709)/2</f>
        <v>59.508000000000003</v>
      </c>
      <c r="E16" s="90">
        <f>(61.63+58.078)/2</f>
        <v>59.853999999999999</v>
      </c>
      <c r="F16" s="90"/>
      <c r="G16" s="90"/>
      <c r="H16" s="90"/>
      <c r="I16" s="90"/>
      <c r="J16" s="105"/>
      <c r="K16" s="73"/>
      <c r="L16" s="73"/>
      <c r="M16" s="73"/>
      <c r="N16" s="73"/>
      <c r="O16" s="73"/>
      <c r="P16" s="73"/>
      <c r="Q16" s="73"/>
      <c r="R16" s="73"/>
    </row>
    <row r="17" spans="1:18" ht="15" x14ac:dyDescent="0.25">
      <c r="A17" s="79">
        <v>8</v>
      </c>
      <c r="B17" s="89">
        <f>643.285</f>
        <v>643.28499999999997</v>
      </c>
      <c r="C17" s="90">
        <f>(613.607+630.602)/2</f>
        <v>622.10449999999992</v>
      </c>
      <c r="D17" s="90">
        <f>(649.557+595.623)/2</f>
        <v>622.59</v>
      </c>
      <c r="E17" s="90">
        <f>(674.604+661.912)/2</f>
        <v>668.25800000000004</v>
      </c>
      <c r="F17" s="90"/>
      <c r="G17" s="90"/>
      <c r="H17" s="90"/>
      <c r="I17" s="90"/>
      <c r="J17" s="105"/>
      <c r="K17" s="73"/>
      <c r="L17" s="73"/>
      <c r="M17" s="73"/>
      <c r="N17" s="73"/>
      <c r="O17" s="73"/>
      <c r="P17" s="73"/>
      <c r="Q17" s="73"/>
      <c r="R17" s="73"/>
    </row>
    <row r="18" spans="1:18" ht="15" x14ac:dyDescent="0.25">
      <c r="A18" s="79">
        <v>9</v>
      </c>
      <c r="B18" s="89">
        <f>(585.088+580.033)/2</f>
        <v>582.56050000000005</v>
      </c>
      <c r="C18" s="90">
        <f>(566.497+569.295)/2</f>
        <v>567.89599999999996</v>
      </c>
      <c r="D18" s="90">
        <f>(584.373+542.497)/2</f>
        <v>563.43499999999995</v>
      </c>
      <c r="E18" s="90">
        <f>(568.932+511.354)/2</f>
        <v>540.14300000000003</v>
      </c>
      <c r="F18" s="90"/>
      <c r="G18" s="90"/>
      <c r="H18" s="90"/>
      <c r="I18" s="90"/>
      <c r="J18" s="105"/>
      <c r="K18" s="73"/>
      <c r="L18" s="73"/>
      <c r="M18" s="73"/>
      <c r="N18" s="73"/>
      <c r="O18" s="73"/>
      <c r="P18" s="73"/>
      <c r="Q18" s="73"/>
      <c r="R18" s="73"/>
    </row>
    <row r="19" spans="1:18" ht="15" x14ac:dyDescent="0.25">
      <c r="A19" s="79">
        <v>10</v>
      </c>
      <c r="B19" s="89">
        <f>(10.88+11.382)/2</f>
        <v>11.131</v>
      </c>
      <c r="C19" s="90">
        <f>(10.647+10.842)/2</f>
        <v>10.7445</v>
      </c>
      <c r="D19" s="90">
        <f>(11.16+11.076)/2</f>
        <v>11.118</v>
      </c>
      <c r="E19" s="90">
        <f>(12.33+13.056)/2</f>
        <v>12.693</v>
      </c>
      <c r="F19" s="90"/>
      <c r="G19" s="90"/>
      <c r="H19" s="90"/>
      <c r="I19" s="90"/>
      <c r="J19" s="105"/>
      <c r="K19" s="73"/>
      <c r="L19" s="73"/>
      <c r="M19" s="73"/>
      <c r="N19" s="73"/>
      <c r="O19" s="73"/>
      <c r="P19" s="73"/>
      <c r="Q19" s="73"/>
      <c r="R19" s="73"/>
    </row>
    <row r="20" spans="1:18" ht="15" x14ac:dyDescent="0.25">
      <c r="A20" s="79">
        <v>11</v>
      </c>
      <c r="B20" s="89">
        <v>3.8534999999999999</v>
      </c>
      <c r="C20" s="90">
        <v>3.7290000000000001</v>
      </c>
      <c r="D20" s="90">
        <v>3.6550000000000002</v>
      </c>
      <c r="E20" s="90">
        <v>3.6524999999999999</v>
      </c>
      <c r="F20" s="90"/>
      <c r="G20" s="90"/>
      <c r="H20" s="90"/>
      <c r="I20" s="90"/>
      <c r="J20" s="105"/>
      <c r="K20" s="73"/>
      <c r="L20" s="73"/>
      <c r="M20" s="73"/>
      <c r="N20" s="73"/>
      <c r="O20" s="73"/>
      <c r="P20" s="73"/>
      <c r="Q20" s="73"/>
      <c r="R20" s="73"/>
    </row>
    <row r="21" spans="1:18" ht="15" x14ac:dyDescent="0.25">
      <c r="A21" s="79">
        <v>12</v>
      </c>
      <c r="B21" s="89">
        <f>(2.728+2.942)/2</f>
        <v>2.835</v>
      </c>
      <c r="C21" s="90">
        <f>(2.874+2.713)/2</f>
        <v>2.7934999999999999</v>
      </c>
      <c r="D21" s="90">
        <f>(3.059+2.759)/2</f>
        <v>2.9089999999999998</v>
      </c>
      <c r="E21" s="90">
        <f>(2.437+2.47)/2</f>
        <v>2.4535</v>
      </c>
      <c r="F21" s="90"/>
      <c r="G21" s="90"/>
      <c r="H21" s="90"/>
      <c r="I21" s="90"/>
      <c r="J21" s="105"/>
      <c r="K21" s="73"/>
      <c r="L21" s="73"/>
      <c r="M21" s="73"/>
      <c r="N21" s="73"/>
      <c r="O21" s="73"/>
      <c r="P21" s="73"/>
      <c r="Q21" s="73"/>
      <c r="R21" s="73"/>
    </row>
    <row r="22" spans="1:18" ht="15" x14ac:dyDescent="0.25">
      <c r="A22" s="79">
        <v>13</v>
      </c>
      <c r="B22" s="89"/>
      <c r="C22" s="90"/>
      <c r="D22" s="90"/>
      <c r="E22" s="90"/>
      <c r="F22" s="90"/>
      <c r="G22" s="90"/>
      <c r="H22" s="90"/>
      <c r="I22" s="90"/>
      <c r="J22" s="105"/>
      <c r="K22" s="73"/>
      <c r="L22" s="73"/>
      <c r="M22" s="73"/>
      <c r="N22" s="73"/>
      <c r="O22" s="73"/>
      <c r="P22" s="73"/>
      <c r="Q22" s="73"/>
      <c r="R22" s="73"/>
    </row>
    <row r="23" spans="1:18" ht="15" x14ac:dyDescent="0.25">
      <c r="A23" s="79">
        <v>14</v>
      </c>
      <c r="B23" s="89"/>
      <c r="C23" s="90"/>
      <c r="D23" s="90"/>
      <c r="E23" s="90"/>
      <c r="F23" s="90"/>
      <c r="G23" s="90"/>
      <c r="H23" s="90"/>
      <c r="I23" s="90"/>
      <c r="J23" s="105"/>
      <c r="K23" s="73"/>
      <c r="L23" s="73"/>
      <c r="M23" s="73"/>
      <c r="N23" s="73"/>
      <c r="O23" s="73"/>
      <c r="P23" s="73"/>
      <c r="Q23" s="73"/>
      <c r="R23" s="73"/>
    </row>
    <row r="24" spans="1:18" ht="15" x14ac:dyDescent="0.25">
      <c r="A24" s="79">
        <v>15</v>
      </c>
      <c r="B24" s="89"/>
      <c r="C24" s="90"/>
      <c r="D24" s="90"/>
      <c r="E24" s="90"/>
      <c r="F24" s="90"/>
      <c r="G24" s="90"/>
      <c r="H24" s="90"/>
      <c r="I24" s="90"/>
      <c r="J24" s="105"/>
      <c r="K24" s="73"/>
      <c r="L24" s="73"/>
      <c r="M24" s="73"/>
      <c r="N24" s="73"/>
      <c r="O24" s="73"/>
      <c r="P24" s="73"/>
      <c r="Q24" s="73"/>
      <c r="R24" s="73"/>
    </row>
    <row r="25" spans="1:18" ht="15" x14ac:dyDescent="0.25">
      <c r="A25" s="79">
        <v>16</v>
      </c>
      <c r="B25" s="106"/>
      <c r="C25" s="107"/>
      <c r="D25" s="107"/>
      <c r="E25" s="107"/>
      <c r="F25" s="107"/>
      <c r="G25" s="108"/>
      <c r="H25" s="108"/>
      <c r="I25" s="108"/>
      <c r="J25" s="105"/>
      <c r="K25" s="73"/>
      <c r="L25" s="73"/>
      <c r="M25" s="73"/>
      <c r="N25" s="73"/>
      <c r="O25" s="73"/>
      <c r="P25" s="73"/>
      <c r="Q25" s="73"/>
      <c r="R25" s="73"/>
    </row>
    <row r="26" spans="1:18" ht="15" x14ac:dyDescent="0.25">
      <c r="A26" s="79">
        <v>17</v>
      </c>
      <c r="B26" s="106"/>
      <c r="C26" s="107"/>
      <c r="D26" s="107"/>
      <c r="E26" s="107"/>
      <c r="F26" s="107"/>
      <c r="G26" s="108"/>
      <c r="H26" s="108"/>
      <c r="I26" s="108"/>
      <c r="J26" s="105"/>
      <c r="K26" s="73"/>
      <c r="L26" s="73"/>
      <c r="M26" s="73"/>
      <c r="N26" s="73"/>
      <c r="O26" s="73"/>
      <c r="P26" s="73"/>
      <c r="Q26" s="73"/>
      <c r="R26" s="73"/>
    </row>
    <row r="27" spans="1:18" ht="15" x14ac:dyDescent="0.25">
      <c r="A27" s="79">
        <v>18</v>
      </c>
      <c r="B27" s="106"/>
      <c r="C27" s="107"/>
      <c r="D27" s="107"/>
      <c r="E27" s="107"/>
      <c r="F27" s="107"/>
      <c r="G27" s="108"/>
      <c r="H27" s="108"/>
      <c r="I27" s="108"/>
      <c r="J27" s="105"/>
      <c r="K27" s="73"/>
      <c r="L27" s="73"/>
      <c r="M27" s="73"/>
      <c r="N27" s="73"/>
      <c r="O27" s="73"/>
      <c r="P27" s="73"/>
      <c r="Q27" s="73"/>
      <c r="R27" s="73"/>
    </row>
    <row r="28" spans="1:18" ht="15" x14ac:dyDescent="0.25">
      <c r="A28" s="79">
        <v>19</v>
      </c>
      <c r="B28" s="106"/>
      <c r="C28" s="107"/>
      <c r="D28" s="107"/>
      <c r="E28" s="107"/>
      <c r="F28" s="107"/>
      <c r="G28" s="108"/>
      <c r="H28" s="108"/>
      <c r="I28" s="108"/>
      <c r="J28" s="105"/>
      <c r="K28" s="73"/>
      <c r="L28" s="73"/>
      <c r="M28" s="73"/>
      <c r="N28" s="73"/>
      <c r="O28" s="73"/>
      <c r="P28" s="73"/>
      <c r="Q28" s="73"/>
      <c r="R28" s="73"/>
    </row>
    <row r="29" spans="1:18" ht="15" x14ac:dyDescent="0.25">
      <c r="A29" s="79">
        <v>20</v>
      </c>
      <c r="B29" s="106"/>
      <c r="C29" s="107"/>
      <c r="D29" s="107"/>
      <c r="E29" s="107"/>
      <c r="F29" s="107"/>
      <c r="G29" s="108"/>
      <c r="H29" s="108"/>
      <c r="I29" s="108"/>
      <c r="J29" s="105"/>
      <c r="K29" s="73"/>
      <c r="L29" s="73"/>
      <c r="M29" s="73"/>
      <c r="N29" s="73"/>
      <c r="O29" s="73"/>
      <c r="P29" s="73"/>
      <c r="Q29" s="73"/>
      <c r="R29" s="73"/>
    </row>
    <row r="30" spans="1:18" ht="15" x14ac:dyDescent="0.25">
      <c r="A30" s="79">
        <v>21</v>
      </c>
      <c r="B30" s="106"/>
      <c r="C30" s="107"/>
      <c r="D30" s="107"/>
      <c r="E30" s="107"/>
      <c r="F30" s="107"/>
      <c r="G30" s="108"/>
      <c r="H30" s="108"/>
      <c r="I30" s="108"/>
      <c r="J30" s="105"/>
      <c r="K30" s="73"/>
      <c r="L30" s="73"/>
      <c r="M30" s="73"/>
      <c r="N30" s="73"/>
      <c r="O30" s="73"/>
      <c r="P30" s="73"/>
      <c r="Q30" s="73"/>
      <c r="R30" s="73"/>
    </row>
    <row r="31" spans="1:18" ht="15" x14ac:dyDescent="0.25">
      <c r="A31" s="79">
        <v>22</v>
      </c>
      <c r="B31" s="106"/>
      <c r="C31" s="107"/>
      <c r="D31" s="107"/>
      <c r="E31" s="107"/>
      <c r="F31" s="107"/>
      <c r="G31" s="108"/>
      <c r="H31" s="108"/>
      <c r="I31" s="108"/>
      <c r="J31" s="105"/>
      <c r="K31" s="80"/>
      <c r="L31" s="80"/>
      <c r="M31" s="80"/>
      <c r="N31" s="80"/>
      <c r="O31" s="80"/>
      <c r="P31" s="80"/>
      <c r="Q31" s="80"/>
      <c r="R31" s="80"/>
    </row>
    <row r="32" spans="1:18" ht="15" x14ac:dyDescent="0.25">
      <c r="A32" s="79">
        <v>23</v>
      </c>
      <c r="B32" s="106"/>
      <c r="C32" s="107"/>
      <c r="D32" s="107"/>
      <c r="E32" s="107"/>
      <c r="F32" s="107"/>
      <c r="G32" s="108"/>
      <c r="H32" s="108"/>
      <c r="I32" s="108"/>
      <c r="J32" s="105"/>
      <c r="K32" s="80"/>
      <c r="L32" s="80"/>
      <c r="M32" s="80"/>
      <c r="N32" s="80"/>
      <c r="O32" s="80"/>
      <c r="P32" s="80"/>
      <c r="Q32" s="80"/>
      <c r="R32" s="80"/>
    </row>
    <row r="33" spans="1:18" ht="15" x14ac:dyDescent="0.25">
      <c r="A33" s="79">
        <v>24</v>
      </c>
      <c r="B33" s="106"/>
      <c r="C33" s="107"/>
      <c r="D33" s="107"/>
      <c r="E33" s="107"/>
      <c r="F33" s="107"/>
      <c r="G33" s="108"/>
      <c r="H33" s="108"/>
      <c r="I33" s="108"/>
      <c r="J33" s="105"/>
      <c r="K33" s="80"/>
      <c r="L33" s="80"/>
      <c r="M33" s="80"/>
      <c r="N33" s="80"/>
      <c r="O33" s="80"/>
      <c r="P33" s="80"/>
      <c r="Q33" s="80"/>
      <c r="R33" s="80"/>
    </row>
    <row r="34" spans="1:18" ht="15" x14ac:dyDescent="0.25">
      <c r="A34" s="79">
        <v>25</v>
      </c>
      <c r="B34" s="109"/>
      <c r="C34" s="110"/>
      <c r="D34" s="110"/>
      <c r="E34" s="110"/>
      <c r="F34" s="110"/>
      <c r="G34" s="108"/>
      <c r="H34" s="108"/>
      <c r="I34" s="108"/>
      <c r="J34" s="111"/>
      <c r="K34" s="80"/>
      <c r="L34" s="80"/>
      <c r="M34" s="80"/>
      <c r="N34" s="80"/>
      <c r="O34" s="80"/>
      <c r="P34" s="80"/>
      <c r="Q34" s="80"/>
      <c r="R34" s="80"/>
    </row>
    <row r="35" spans="1:18" ht="15" x14ac:dyDescent="0.25">
      <c r="A35" s="79">
        <v>26</v>
      </c>
      <c r="B35" s="109"/>
      <c r="C35" s="110"/>
      <c r="D35" s="110"/>
      <c r="E35" s="110"/>
      <c r="F35" s="110"/>
      <c r="G35" s="108"/>
      <c r="H35" s="108"/>
      <c r="I35" s="108"/>
      <c r="J35" s="111"/>
      <c r="K35" s="80"/>
      <c r="L35" s="80"/>
      <c r="M35" s="80"/>
      <c r="N35" s="80"/>
      <c r="O35" s="80"/>
      <c r="P35" s="80"/>
      <c r="Q35" s="80"/>
      <c r="R35" s="80"/>
    </row>
    <row r="36" spans="1:18" ht="15" x14ac:dyDescent="0.25">
      <c r="A36" s="79">
        <v>27</v>
      </c>
      <c r="B36" s="109"/>
      <c r="C36" s="110"/>
      <c r="D36" s="110"/>
      <c r="E36" s="110"/>
      <c r="F36" s="110"/>
      <c r="G36" s="108"/>
      <c r="H36" s="108"/>
      <c r="I36" s="108"/>
      <c r="J36" s="111"/>
      <c r="K36" s="80"/>
      <c r="L36" s="80"/>
      <c r="M36" s="80"/>
      <c r="N36" s="80"/>
      <c r="O36" s="80"/>
      <c r="P36" s="80"/>
      <c r="Q36" s="80"/>
      <c r="R36" s="80"/>
    </row>
    <row r="37" spans="1:18" ht="15" x14ac:dyDescent="0.25">
      <c r="A37" s="79">
        <v>28</v>
      </c>
      <c r="B37" s="109"/>
      <c r="C37" s="110"/>
      <c r="D37" s="110"/>
      <c r="E37" s="110"/>
      <c r="F37" s="110"/>
      <c r="G37" s="108"/>
      <c r="H37" s="108"/>
      <c r="I37" s="108"/>
      <c r="J37" s="111"/>
      <c r="K37" s="80"/>
      <c r="L37" s="80"/>
      <c r="M37" s="80"/>
      <c r="N37" s="80"/>
      <c r="O37" s="80"/>
      <c r="P37" s="80"/>
      <c r="Q37" s="80"/>
      <c r="R37" s="80"/>
    </row>
    <row r="38" spans="1:18" ht="15" x14ac:dyDescent="0.25">
      <c r="A38" s="79">
        <v>29</v>
      </c>
      <c r="B38" s="109"/>
      <c r="C38" s="110"/>
      <c r="D38" s="110"/>
      <c r="E38" s="110"/>
      <c r="F38" s="110"/>
      <c r="G38" s="108"/>
      <c r="H38" s="108"/>
      <c r="I38" s="108"/>
      <c r="J38" s="111"/>
      <c r="K38" s="80"/>
      <c r="L38" s="80"/>
      <c r="M38" s="80"/>
      <c r="N38" s="80"/>
      <c r="O38" s="80"/>
      <c r="P38" s="80"/>
      <c r="Q38" s="80"/>
      <c r="R38" s="80"/>
    </row>
    <row r="39" spans="1:18" ht="15" customHeight="1" x14ac:dyDescent="0.25">
      <c r="A39" s="79">
        <v>30</v>
      </c>
      <c r="B39" s="109"/>
      <c r="C39" s="110"/>
      <c r="D39" s="110"/>
      <c r="E39" s="110"/>
      <c r="F39" s="110"/>
      <c r="G39" s="108"/>
      <c r="H39" s="108"/>
      <c r="I39" s="108"/>
      <c r="J39" s="111"/>
      <c r="K39" s="81"/>
      <c r="L39" s="82"/>
      <c r="M39" s="82"/>
      <c r="N39" s="82"/>
      <c r="O39" s="82"/>
      <c r="P39" s="82"/>
      <c r="Q39" s="82"/>
      <c r="R39" s="82"/>
    </row>
    <row r="40" spans="1:18" ht="15" x14ac:dyDescent="0.25">
      <c r="A40" s="79">
        <v>31</v>
      </c>
      <c r="B40" s="109"/>
      <c r="C40" s="110"/>
      <c r="D40" s="110"/>
      <c r="E40" s="110"/>
      <c r="F40" s="110"/>
      <c r="G40" s="108"/>
      <c r="H40" s="108"/>
      <c r="I40" s="108"/>
      <c r="J40" s="111"/>
      <c r="K40" s="83"/>
      <c r="L40" s="82"/>
      <c r="M40" s="82"/>
      <c r="N40" s="82"/>
      <c r="O40" s="82"/>
      <c r="P40" s="82"/>
      <c r="Q40" s="82"/>
      <c r="R40" s="82"/>
    </row>
    <row r="41" spans="1:18" ht="15" x14ac:dyDescent="0.25">
      <c r="A41" s="79">
        <v>32</v>
      </c>
      <c r="B41" s="109"/>
      <c r="C41" s="110"/>
      <c r="D41" s="110"/>
      <c r="E41" s="110"/>
      <c r="F41" s="110"/>
      <c r="G41" s="108"/>
      <c r="H41" s="108"/>
      <c r="I41" s="108"/>
      <c r="J41" s="111"/>
      <c r="K41" s="83"/>
      <c r="L41" s="82"/>
      <c r="M41" s="82"/>
      <c r="N41" s="82"/>
      <c r="O41" s="82"/>
      <c r="P41" s="82"/>
      <c r="Q41" s="82"/>
      <c r="R41" s="82"/>
    </row>
    <row r="42" spans="1:18" ht="15" x14ac:dyDescent="0.25">
      <c r="A42" s="79">
        <v>33</v>
      </c>
      <c r="B42" s="109"/>
      <c r="C42" s="110"/>
      <c r="D42" s="110"/>
      <c r="E42" s="110"/>
      <c r="F42" s="110"/>
      <c r="G42" s="108"/>
      <c r="H42" s="108"/>
      <c r="I42" s="108"/>
      <c r="J42" s="111"/>
      <c r="K42" s="162" t="s">
        <v>30</v>
      </c>
      <c r="L42" s="163"/>
      <c r="M42" s="163"/>
      <c r="N42" s="163"/>
      <c r="O42" s="163"/>
      <c r="P42" s="163"/>
      <c r="Q42" s="163"/>
      <c r="R42" s="163"/>
    </row>
    <row r="43" spans="1:18" ht="15" x14ac:dyDescent="0.25">
      <c r="A43" s="79">
        <v>34</v>
      </c>
      <c r="B43" s="109"/>
      <c r="C43" s="110"/>
      <c r="D43" s="110"/>
      <c r="E43" s="110"/>
      <c r="F43" s="110"/>
      <c r="G43" s="108"/>
      <c r="H43" s="108"/>
      <c r="I43" s="108"/>
      <c r="J43" s="111"/>
      <c r="K43" s="84"/>
      <c r="L43" s="85"/>
      <c r="M43" s="85"/>
      <c r="N43" s="85"/>
      <c r="O43" s="85"/>
      <c r="P43" s="85"/>
      <c r="Q43" s="85"/>
      <c r="R43" s="85"/>
    </row>
    <row r="44" spans="1:18" ht="15" x14ac:dyDescent="0.25">
      <c r="A44" s="79">
        <v>35</v>
      </c>
      <c r="B44" s="109"/>
      <c r="C44" s="110"/>
      <c r="D44" s="110"/>
      <c r="E44" s="110"/>
      <c r="F44" s="110"/>
      <c r="G44" s="108"/>
      <c r="H44" s="108"/>
      <c r="I44" s="108"/>
      <c r="J44" s="111"/>
      <c r="K44" s="84"/>
      <c r="L44" s="85"/>
      <c r="M44" s="85"/>
      <c r="N44" s="85"/>
      <c r="O44" s="85"/>
      <c r="P44" s="85"/>
      <c r="Q44" s="85"/>
      <c r="R44" s="85"/>
    </row>
    <row r="45" spans="1:18" ht="15" x14ac:dyDescent="0.25">
      <c r="A45" s="79">
        <v>36</v>
      </c>
      <c r="B45" s="109"/>
      <c r="C45" s="110"/>
      <c r="D45" s="110"/>
      <c r="E45" s="110"/>
      <c r="F45" s="110"/>
      <c r="G45" s="108"/>
      <c r="H45" s="108"/>
      <c r="I45" s="108"/>
      <c r="J45" s="111"/>
      <c r="K45" s="84"/>
      <c r="L45" s="85"/>
      <c r="M45" s="85"/>
      <c r="N45" s="85"/>
      <c r="O45" s="85"/>
      <c r="P45" s="85"/>
      <c r="Q45" s="85"/>
      <c r="R45" s="85"/>
    </row>
    <row r="46" spans="1:18" ht="15" x14ac:dyDescent="0.25">
      <c r="A46" s="79">
        <v>37</v>
      </c>
      <c r="B46" s="112"/>
      <c r="C46" s="108"/>
      <c r="D46" s="108"/>
      <c r="E46" s="113"/>
      <c r="F46" s="108"/>
      <c r="G46" s="108"/>
      <c r="H46" s="108"/>
      <c r="I46" s="108"/>
      <c r="J46" s="105"/>
      <c r="K46" s="84"/>
      <c r="L46" s="85"/>
      <c r="M46" s="85"/>
      <c r="N46" s="85"/>
      <c r="O46" s="85"/>
      <c r="P46" s="85"/>
      <c r="Q46" s="85"/>
      <c r="R46" s="85"/>
    </row>
    <row r="47" spans="1:18" ht="15" x14ac:dyDescent="0.25">
      <c r="A47" s="79">
        <v>38</v>
      </c>
      <c r="B47" s="112"/>
      <c r="C47" s="108"/>
      <c r="D47" s="108"/>
      <c r="E47" s="113"/>
      <c r="F47" s="108"/>
      <c r="G47" s="108"/>
      <c r="H47" s="108"/>
      <c r="I47" s="108"/>
      <c r="J47" s="105"/>
      <c r="K47" s="80"/>
      <c r="L47" s="80"/>
      <c r="M47" s="80"/>
      <c r="N47" s="80"/>
      <c r="O47" s="80"/>
      <c r="P47" s="80"/>
      <c r="Q47" s="80"/>
      <c r="R47" s="80"/>
    </row>
    <row r="48" spans="1:18" ht="15" x14ac:dyDescent="0.25">
      <c r="A48" s="79">
        <v>39</v>
      </c>
      <c r="B48" s="112"/>
      <c r="C48" s="108"/>
      <c r="D48" s="108"/>
      <c r="E48" s="113"/>
      <c r="F48" s="108"/>
      <c r="G48" s="108"/>
      <c r="H48" s="108"/>
      <c r="I48" s="108"/>
      <c r="J48" s="111"/>
      <c r="K48" s="80"/>
      <c r="L48" s="80"/>
      <c r="M48" s="80"/>
      <c r="N48" s="80"/>
      <c r="O48" s="80"/>
      <c r="P48" s="80"/>
      <c r="Q48" s="80"/>
      <c r="R48" s="80"/>
    </row>
    <row r="49" spans="1:29" ht="15" x14ac:dyDescent="0.25">
      <c r="A49" s="79">
        <v>40</v>
      </c>
      <c r="B49" s="112"/>
      <c r="C49" s="108"/>
      <c r="D49" s="108"/>
      <c r="E49" s="113"/>
      <c r="F49" s="108"/>
      <c r="G49" s="108"/>
      <c r="H49" s="108"/>
      <c r="I49" s="108"/>
      <c r="J49" s="111"/>
      <c r="K49" s="80"/>
      <c r="L49" s="80"/>
      <c r="M49" s="80"/>
      <c r="N49" s="80"/>
      <c r="O49" s="80"/>
      <c r="P49" s="80"/>
      <c r="Q49" s="80"/>
      <c r="R49" s="80"/>
    </row>
    <row r="50" spans="1:29" ht="15" x14ac:dyDescent="0.25">
      <c r="A50" s="79">
        <v>41</v>
      </c>
      <c r="B50" s="112"/>
      <c r="C50" s="108"/>
      <c r="D50" s="108"/>
      <c r="E50" s="113"/>
      <c r="F50" s="108"/>
      <c r="G50" s="108"/>
      <c r="H50" s="108"/>
      <c r="I50" s="108"/>
      <c r="J50" s="111"/>
      <c r="K50" s="80"/>
      <c r="L50" s="80"/>
      <c r="M50" s="80"/>
      <c r="N50" s="80"/>
      <c r="O50" s="80"/>
      <c r="P50" s="80"/>
      <c r="Q50" s="80"/>
      <c r="R50" s="80"/>
    </row>
    <row r="51" spans="1:29" ht="15" x14ac:dyDescent="0.25">
      <c r="A51" s="79">
        <v>42</v>
      </c>
      <c r="B51" s="112"/>
      <c r="C51" s="108"/>
      <c r="D51" s="108"/>
      <c r="E51" s="113"/>
      <c r="F51" s="108"/>
      <c r="G51" s="108"/>
      <c r="H51" s="108"/>
      <c r="I51" s="108"/>
      <c r="J51" s="111"/>
      <c r="K51" s="80"/>
      <c r="L51" s="80"/>
      <c r="M51" s="80"/>
      <c r="N51" s="80"/>
      <c r="O51" s="80"/>
      <c r="P51" s="80"/>
      <c r="Q51" s="80"/>
      <c r="R51" s="80"/>
    </row>
    <row r="52" spans="1:29" ht="15" x14ac:dyDescent="0.25">
      <c r="A52" s="79">
        <v>43</v>
      </c>
      <c r="B52" s="112"/>
      <c r="C52" s="108"/>
      <c r="D52" s="108"/>
      <c r="E52" s="113"/>
      <c r="F52" s="108"/>
      <c r="G52" s="108"/>
      <c r="H52" s="108"/>
      <c r="I52" s="108"/>
      <c r="J52" s="111"/>
      <c r="K52" s="80"/>
      <c r="L52" s="80"/>
      <c r="M52" s="80"/>
      <c r="N52" s="80"/>
      <c r="O52" s="80"/>
      <c r="P52" s="80"/>
      <c r="Q52" s="80"/>
      <c r="R52" s="80"/>
    </row>
    <row r="53" spans="1:29" ht="15" x14ac:dyDescent="0.25">
      <c r="A53" s="79">
        <v>44</v>
      </c>
      <c r="B53" s="112"/>
      <c r="C53" s="108"/>
      <c r="D53" s="108"/>
      <c r="E53" s="113"/>
      <c r="F53" s="108"/>
      <c r="G53" s="108"/>
      <c r="H53" s="108"/>
      <c r="I53" s="108"/>
      <c r="J53" s="111"/>
      <c r="K53" s="80"/>
      <c r="L53" s="80"/>
      <c r="M53" s="80"/>
      <c r="N53" s="80"/>
      <c r="O53" s="80"/>
      <c r="P53" s="80"/>
      <c r="Q53" s="80"/>
      <c r="R53" s="80"/>
    </row>
    <row r="54" spans="1:29" ht="15" x14ac:dyDescent="0.25">
      <c r="A54" s="79">
        <v>45</v>
      </c>
      <c r="B54" s="112"/>
      <c r="C54" s="108"/>
      <c r="D54" s="108"/>
      <c r="E54" s="113"/>
      <c r="F54" s="108"/>
      <c r="G54" s="108"/>
      <c r="H54" s="108"/>
      <c r="I54" s="108"/>
      <c r="J54" s="111"/>
      <c r="K54" s="80"/>
      <c r="L54" s="80"/>
      <c r="M54" s="80"/>
      <c r="N54" s="80"/>
      <c r="O54" s="80"/>
      <c r="P54" s="80"/>
      <c r="Q54" s="80"/>
      <c r="R54" s="80"/>
    </row>
    <row r="55" spans="1:29" ht="15" x14ac:dyDescent="0.25">
      <c r="A55" s="79">
        <v>46</v>
      </c>
      <c r="B55" s="112"/>
      <c r="C55" s="108"/>
      <c r="D55" s="108"/>
      <c r="E55" s="113"/>
      <c r="F55" s="108"/>
      <c r="G55" s="108"/>
      <c r="H55" s="108"/>
      <c r="I55" s="108"/>
      <c r="J55" s="111"/>
      <c r="K55" s="80"/>
      <c r="L55" s="80"/>
      <c r="M55" s="80"/>
      <c r="N55" s="80"/>
      <c r="O55" s="80"/>
      <c r="P55" s="80"/>
      <c r="Q55" s="80"/>
      <c r="R55" s="80"/>
    </row>
    <row r="56" spans="1:29" ht="15" x14ac:dyDescent="0.25">
      <c r="A56" s="79">
        <v>47</v>
      </c>
      <c r="B56" s="112"/>
      <c r="C56" s="108"/>
      <c r="D56" s="108"/>
      <c r="E56" s="113"/>
      <c r="F56" s="108"/>
      <c r="G56" s="108"/>
      <c r="H56" s="108"/>
      <c r="I56" s="108"/>
      <c r="J56" s="111"/>
      <c r="K56" s="80"/>
      <c r="L56" s="80"/>
      <c r="M56" s="80"/>
      <c r="N56" s="80"/>
      <c r="O56" s="80"/>
      <c r="P56" s="80"/>
      <c r="Q56" s="80"/>
      <c r="R56" s="80"/>
    </row>
    <row r="57" spans="1:29" ht="15" x14ac:dyDescent="0.25">
      <c r="A57" s="79">
        <v>48</v>
      </c>
      <c r="B57" s="112"/>
      <c r="C57" s="108"/>
      <c r="D57" s="108"/>
      <c r="E57" s="113"/>
      <c r="F57" s="108"/>
      <c r="G57" s="108"/>
      <c r="H57" s="108"/>
      <c r="I57" s="108"/>
      <c r="J57" s="111"/>
      <c r="K57" s="80"/>
      <c r="L57" s="80"/>
      <c r="M57" s="80"/>
      <c r="N57" s="80"/>
      <c r="O57" s="80"/>
      <c r="P57" s="80"/>
      <c r="Q57" s="80"/>
      <c r="R57" s="80"/>
    </row>
    <row r="58" spans="1:29" ht="15" x14ac:dyDescent="0.25">
      <c r="A58" s="79">
        <v>49</v>
      </c>
      <c r="B58" s="112"/>
      <c r="C58" s="108"/>
      <c r="D58" s="108"/>
      <c r="E58" s="113"/>
      <c r="F58" s="108"/>
      <c r="G58" s="108"/>
      <c r="H58" s="108"/>
      <c r="I58" s="108"/>
      <c r="J58" s="111"/>
      <c r="K58" s="80"/>
      <c r="L58" s="80"/>
      <c r="M58" s="80"/>
      <c r="N58" s="80"/>
      <c r="O58" s="80"/>
      <c r="P58" s="80"/>
      <c r="Q58" s="80"/>
      <c r="R58" s="80"/>
    </row>
    <row r="59" spans="1:29" ht="15.75" thickBot="1" x14ac:dyDescent="0.3">
      <c r="A59" s="86">
        <v>50</v>
      </c>
      <c r="B59" s="114"/>
      <c r="C59" s="115"/>
      <c r="D59" s="115"/>
      <c r="E59" s="116"/>
      <c r="F59" s="115"/>
      <c r="G59" s="115"/>
      <c r="H59" s="115"/>
      <c r="I59" s="115"/>
      <c r="J59" s="117"/>
      <c r="K59" s="80"/>
      <c r="L59" s="80"/>
      <c r="M59" s="80"/>
      <c r="N59" s="80"/>
      <c r="O59" s="80"/>
      <c r="P59" s="80"/>
      <c r="Q59" s="80"/>
      <c r="R59" s="80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70" t="s">
        <v>26</v>
      </c>
      <c r="C63" s="171"/>
      <c r="D63" s="171"/>
      <c r="E63" s="171"/>
      <c r="F63" s="171"/>
      <c r="G63" s="171"/>
      <c r="H63" s="171"/>
      <c r="I63" s="171"/>
      <c r="J63" s="171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115" si="0">IF((B10&lt;&gt;0)*ISNUMBER(B10),100*(B10/B10),"")</f>
        <v>100</v>
      </c>
      <c r="C66" s="19">
        <f t="shared" ref="C66:C115" si="1">IF((B10&lt;&gt;0)*ISNUMBER(C10),100*(C10/B10),"")</f>
        <v>85.847078943013187</v>
      </c>
      <c r="D66" s="19">
        <f t="shared" ref="D66:D115" si="2">IF((B10&lt;&gt;0)*ISNUMBER(D10),100*(D10/B10),"")</f>
        <v>90.749158713521268</v>
      </c>
      <c r="E66" s="19">
        <f t="shared" ref="E66:E115" si="3">IF((B10&lt;&gt;0)*ISNUMBER(E10),100*(E10/B10),"")</f>
        <v>95.479119545429484</v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100.36076017322213</v>
      </c>
      <c r="D67" s="19">
        <f t="shared" si="2"/>
        <v>99.804588239504653</v>
      </c>
      <c r="E67" s="19">
        <f t="shared" si="3"/>
        <v>91.893633012419016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103.226183974409</v>
      </c>
      <c r="D68" s="19">
        <f t="shared" si="2"/>
        <v>106.41530779433566</v>
      </c>
      <c r="E68" s="19">
        <f t="shared" si="3"/>
        <v>102.08707185768901</v>
      </c>
      <c r="F68" s="19" t="str">
        <f t="shared" si="4"/>
        <v/>
      </c>
      <c r="G68" s="19" t="str">
        <f t="shared" si="5"/>
        <v/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/>
      <c r="C69" s="19"/>
      <c r="D69" s="19"/>
      <c r="E69" s="19"/>
      <c r="F69" s="19"/>
      <c r="G69" s="19"/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88.394676274448685</v>
      </c>
      <c r="D70" s="19">
        <f t="shared" si="2"/>
        <v>110.43622429662969</v>
      </c>
      <c r="E70" s="19">
        <f t="shared" si="3"/>
        <v>104.29233296881522</v>
      </c>
      <c r="F70" s="19" t="str">
        <f t="shared" si="4"/>
        <v/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 t="shared" si="0"/>
        <v>100</v>
      </c>
      <c r="C71" s="19">
        <f t="shared" si="1"/>
        <v>92.25134131242261</v>
      </c>
      <c r="D71" s="19">
        <f t="shared" si="2"/>
        <v>96.366075113495668</v>
      </c>
      <c r="E71" s="19">
        <f t="shared" si="3"/>
        <v>102.0160957490714</v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102.3698342283446</v>
      </c>
      <c r="D72" s="19">
        <f t="shared" si="2"/>
        <v>99.242853807411365</v>
      </c>
      <c r="E72" s="19">
        <f t="shared" si="3"/>
        <v>99.819885927754243</v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96.707446932541558</v>
      </c>
      <c r="D73" s="19">
        <f t="shared" si="2"/>
        <v>96.782918923960608</v>
      </c>
      <c r="E73" s="19">
        <f t="shared" si="3"/>
        <v>103.88210513225089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97.482750718594886</v>
      </c>
      <c r="D74" s="19">
        <f t="shared" si="2"/>
        <v>96.716993342322368</v>
      </c>
      <c r="E74" s="19">
        <f t="shared" si="3"/>
        <v>92.718781997749588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96.527715389452879</v>
      </c>
      <c r="D75" s="19">
        <f t="shared" si="2"/>
        <v>99.883209055790132</v>
      </c>
      <c r="E75" s="19">
        <f t="shared" si="3"/>
        <v>114.03288114275448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/>
      <c r="C76" s="19"/>
      <c r="D76" s="19"/>
      <c r="E76" s="19"/>
      <c r="F76" s="19" t="str">
        <f t="shared" si="4"/>
        <v/>
      </c>
      <c r="G76" s="19" t="str">
        <f t="shared" si="5"/>
        <v/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/>
      <c r="C77" s="19"/>
      <c r="D77" s="19"/>
      <c r="E77" s="19"/>
      <c r="F77" s="19"/>
      <c r="G77" s="19" t="str">
        <f t="shared" si="5"/>
        <v/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/>
      <c r="C78" s="19"/>
      <c r="D78" s="19"/>
      <c r="E78" s="19"/>
      <c r="F78" s="19"/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0"/>
        <v/>
      </c>
      <c r="C79" s="19" t="str">
        <f t="shared" si="1"/>
        <v/>
      </c>
      <c r="D79" s="19" t="str">
        <f t="shared" si="2"/>
        <v/>
      </c>
      <c r="E79" s="19" t="str">
        <f t="shared" si="3"/>
        <v/>
      </c>
      <c r="F79" s="19" t="str">
        <f t="shared" si="4"/>
        <v/>
      </c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si="1"/>
        <v/>
      </c>
      <c r="D80" s="19" t="str">
        <f t="shared" si="2"/>
        <v/>
      </c>
      <c r="E80" s="19" t="str">
        <f t="shared" si="3"/>
        <v/>
      </c>
      <c r="F80" s="19" t="str">
        <f t="shared" si="4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"/>
        <v/>
      </c>
      <c r="D81" s="19" t="str">
        <f t="shared" si="2"/>
        <v/>
      </c>
      <c r="E81" s="19" t="str">
        <f t="shared" si="3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9"/>
      <c r="L104" s="160"/>
      <c r="M104" s="160"/>
      <c r="N104" s="160"/>
      <c r="O104" s="160"/>
      <c r="P104" s="160"/>
      <c r="Q104" s="160"/>
      <c r="R104" s="160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61"/>
      <c r="L105" s="160"/>
      <c r="M105" s="160"/>
      <c r="N105" s="160"/>
      <c r="O105" s="160"/>
      <c r="P105" s="160"/>
      <c r="Q105" s="160"/>
      <c r="R105" s="160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61"/>
      <c r="L106" s="160"/>
      <c r="M106" s="160"/>
      <c r="N106" s="160"/>
      <c r="O106" s="160"/>
      <c r="P106" s="160"/>
      <c r="Q106" s="160"/>
      <c r="R106" s="160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61"/>
      <c r="L107" s="160"/>
      <c r="M107" s="160"/>
      <c r="N107" s="160"/>
      <c r="O107" s="160"/>
      <c r="P107" s="160"/>
      <c r="Q107" s="160"/>
      <c r="R107" s="160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61"/>
      <c r="L108" s="160"/>
      <c r="M108" s="160"/>
      <c r="N108" s="160"/>
      <c r="O108" s="160"/>
      <c r="P108" s="160"/>
      <c r="Q108" s="160"/>
      <c r="R108" s="160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9">IF(B117&gt;0,AVERAGE(B66:B115),"")</f>
        <v>100</v>
      </c>
      <c r="C116" s="20">
        <f t="shared" si="9"/>
        <v>95.907531994049947</v>
      </c>
      <c r="D116" s="20">
        <f t="shared" si="9"/>
        <v>99.599703254107936</v>
      </c>
      <c r="E116" s="20">
        <f t="shared" si="9"/>
        <v>100.6913230371037</v>
      </c>
      <c r="F116" s="20" t="str">
        <f t="shared" si="9"/>
        <v/>
      </c>
      <c r="G116" s="20" t="str">
        <f t="shared" si="9"/>
        <v/>
      </c>
      <c r="H116" s="20" t="str">
        <f t="shared" si="9"/>
        <v/>
      </c>
      <c r="I116" s="20" t="str">
        <f>IF(I117&gt;0,AVERAGE(I66:I115),"")</f>
        <v/>
      </c>
      <c r="J116" s="20" t="str">
        <f>IF(J117&gt;0,AVERAGE(J66:J115),"")</f>
        <v/>
      </c>
      <c r="K116" s="159" t="s">
        <v>29</v>
      </c>
      <c r="L116" s="160"/>
      <c r="M116" s="160"/>
      <c r="N116" s="160"/>
      <c r="O116" s="160"/>
      <c r="P116" s="160"/>
      <c r="Q116" s="160"/>
      <c r="R116" s="160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9</v>
      </c>
      <c r="C117" s="20">
        <f t="shared" ref="C117:J117" si="10">COUNT(C66:C115)</f>
        <v>9</v>
      </c>
      <c r="D117" s="20">
        <f t="shared" si="10"/>
        <v>9</v>
      </c>
      <c r="E117" s="20">
        <f t="shared" si="10"/>
        <v>9</v>
      </c>
      <c r="F117" s="20">
        <f t="shared" si="10"/>
        <v>0</v>
      </c>
      <c r="G117" s="20">
        <f t="shared" si="10"/>
        <v>0</v>
      </c>
      <c r="H117" s="20">
        <f t="shared" si="10"/>
        <v>0</v>
      </c>
      <c r="I117" s="20">
        <f t="shared" si="10"/>
        <v>0</v>
      </c>
      <c r="J117" s="20">
        <f t="shared" si="10"/>
        <v>0</v>
      </c>
      <c r="K117" s="161"/>
      <c r="L117" s="160"/>
      <c r="M117" s="160"/>
      <c r="N117" s="160"/>
      <c r="O117" s="160"/>
      <c r="P117" s="160"/>
      <c r="Q117" s="160"/>
      <c r="R117" s="160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1">IF(C117&gt;0,STDEV(C66:C115),"")</f>
        <v>6.017521401413414</v>
      </c>
      <c r="D118" s="20">
        <f t="shared" si="11"/>
        <v>5.8004862780305322</v>
      </c>
      <c r="E118" s="20">
        <f t="shared" si="11"/>
        <v>6.8349826387013097</v>
      </c>
      <c r="F118" s="20" t="str">
        <f t="shared" si="11"/>
        <v/>
      </c>
      <c r="G118" s="20" t="str">
        <f t="shared" si="11"/>
        <v/>
      </c>
      <c r="H118" s="20" t="str">
        <f t="shared" si="11"/>
        <v/>
      </c>
      <c r="I118" s="20" t="str">
        <f>IF(I117&gt;0,STDEV(I66:I115),"")</f>
        <v/>
      </c>
      <c r="J118" s="20" t="str">
        <f>IF(J117&gt;0,STDEV(J66:J115),"")</f>
        <v/>
      </c>
      <c r="K118" s="161"/>
      <c r="L118" s="160"/>
      <c r="M118" s="160"/>
      <c r="N118" s="160"/>
      <c r="O118" s="160"/>
      <c r="P118" s="160"/>
      <c r="Q118" s="160"/>
      <c r="R118" s="160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2">IF(C117&gt;0,C118/SQRT(C117),"")</f>
        <v>2.0058404671378045</v>
      </c>
      <c r="D119" s="20">
        <f t="shared" si="12"/>
        <v>1.9334954260101773</v>
      </c>
      <c r="E119" s="20">
        <f t="shared" si="12"/>
        <v>2.2783275462337698</v>
      </c>
      <c r="F119" s="20" t="str">
        <f t="shared" si="12"/>
        <v/>
      </c>
      <c r="G119" s="20" t="str">
        <f t="shared" si="12"/>
        <v/>
      </c>
      <c r="H119" s="20" t="str">
        <f t="shared" si="12"/>
        <v/>
      </c>
      <c r="I119" s="20" t="str">
        <f>IF(I117&gt;0,I118/SQRT(I117),"")</f>
        <v/>
      </c>
      <c r="J119" s="20" t="str">
        <f>IF(J117&gt;0,J118/SQRT(J117),"")</f>
        <v/>
      </c>
      <c r="K119" s="161"/>
      <c r="L119" s="160"/>
      <c r="M119" s="160"/>
      <c r="N119" s="160"/>
      <c r="O119" s="160"/>
      <c r="P119" s="160"/>
      <c r="Q119" s="160"/>
      <c r="R119" s="160"/>
    </row>
    <row r="120" spans="1:29" x14ac:dyDescent="0.2">
      <c r="A120" s="30" t="s">
        <v>15</v>
      </c>
      <c r="B120" s="20">
        <f t="shared" ref="B120:J120" si="13">IF(B117&gt;2,TINV(0.1,B117-1),"")</f>
        <v>1.8595480375308981</v>
      </c>
      <c r="C120" s="20">
        <f t="shared" si="13"/>
        <v>1.8595480375308981</v>
      </c>
      <c r="D120" s="20">
        <f t="shared" si="13"/>
        <v>1.8595480375308981</v>
      </c>
      <c r="E120" s="20">
        <f t="shared" si="13"/>
        <v>1.8595480375308981</v>
      </c>
      <c r="F120" s="20" t="str">
        <f t="shared" si="13"/>
        <v/>
      </c>
      <c r="G120" s="20" t="str">
        <f t="shared" si="13"/>
        <v/>
      </c>
      <c r="H120" s="20" t="str">
        <f t="shared" si="13"/>
        <v/>
      </c>
      <c r="I120" s="20" t="str">
        <f t="shared" si="13"/>
        <v/>
      </c>
      <c r="J120" s="20" t="str">
        <f t="shared" si="13"/>
        <v/>
      </c>
      <c r="K120" s="161"/>
      <c r="L120" s="160"/>
      <c r="M120" s="160"/>
      <c r="N120" s="160"/>
      <c r="O120" s="160"/>
      <c r="P120" s="160"/>
      <c r="Q120" s="160"/>
      <c r="R120" s="160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14">IF(C117&gt;2,C120*C119,"")</f>
        <v>3.7299567042661645</v>
      </c>
      <c r="D121" s="20">
        <f t="shared" si="14"/>
        <v>3.595427625012193</v>
      </c>
      <c r="E121" s="20">
        <f t="shared" si="14"/>
        <v>4.2366595174515931</v>
      </c>
      <c r="F121" s="20" t="str">
        <f t="shared" si="14"/>
        <v/>
      </c>
      <c r="G121" s="20" t="str">
        <f t="shared" si="14"/>
        <v/>
      </c>
      <c r="H121" s="20" t="str">
        <f t="shared" si="14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15">IF(C117&gt;0,MIN(C66:C115),"")</f>
        <v>85.847078943013187</v>
      </c>
      <c r="D122" s="20">
        <f t="shared" si="15"/>
        <v>90.749158713521268</v>
      </c>
      <c r="E122" s="20">
        <f t="shared" si="15"/>
        <v>91.893633012419016</v>
      </c>
      <c r="F122" s="20" t="str">
        <f t="shared" si="15"/>
        <v/>
      </c>
      <c r="G122" s="20" t="str">
        <f t="shared" si="15"/>
        <v/>
      </c>
      <c r="H122" s="20" t="str">
        <f t="shared" si="15"/>
        <v/>
      </c>
      <c r="I122" s="20" t="str">
        <f t="shared" si="15"/>
        <v/>
      </c>
      <c r="J122" s="20" t="str">
        <f t="shared" si="15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16">IF(C117&gt;0,MAX(C66:C115),"")</f>
        <v>103.226183974409</v>
      </c>
      <c r="D123" s="20">
        <f t="shared" si="16"/>
        <v>110.43622429662969</v>
      </c>
      <c r="E123" s="20">
        <f t="shared" si="16"/>
        <v>114.03288114275448</v>
      </c>
      <c r="F123" s="20" t="str">
        <f t="shared" si="16"/>
        <v/>
      </c>
      <c r="G123" s="20" t="str">
        <f t="shared" si="16"/>
        <v/>
      </c>
      <c r="H123" s="20" t="str">
        <f t="shared" si="16"/>
        <v/>
      </c>
      <c r="I123" s="20" t="str">
        <f t="shared" si="16"/>
        <v/>
      </c>
      <c r="J123" s="31" t="str">
        <f t="shared" si="16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0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M61"/>
  <sheetViews>
    <sheetView tabSelected="1" topLeftCell="A25" workbookViewId="0">
      <selection activeCell="A48" sqref="A48"/>
    </sheetView>
  </sheetViews>
  <sheetFormatPr baseColWidth="10" defaultColWidth="11.42578125" defaultRowHeight="12.75" x14ac:dyDescent="0.2"/>
  <cols>
    <col min="1" max="4" width="11.42578125" style="40"/>
    <col min="5" max="5" width="14.140625" style="40" customWidth="1"/>
    <col min="6" max="16384" width="11.42578125" style="40"/>
  </cols>
  <sheetData>
    <row r="1" spans="1:13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</row>
    <row r="2" spans="1:13" x14ac:dyDescent="0.2">
      <c r="A2" s="40" t="s">
        <v>83</v>
      </c>
      <c r="B2" s="40" t="str">
        <f>hiddenSheet!ekr_doktittel</f>
        <v>Holdbarhetsforsøk GADA</v>
      </c>
    </row>
    <row r="4" spans="1:13" ht="13.5" thickBot="1" x14ac:dyDescent="0.25"/>
    <row r="5" spans="1:13" ht="34.5" x14ac:dyDescent="0.45">
      <c r="B5" s="127" t="s">
        <v>77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1:13" ht="12.75" customHeight="1" x14ac:dyDescent="0.2">
      <c r="B6" s="172" t="s">
        <v>132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x14ac:dyDescent="0.2"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/>
    </row>
    <row r="8" spans="1:13" x14ac:dyDescent="0.2"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/>
    </row>
    <row r="9" spans="1:13" x14ac:dyDescent="0.2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</row>
    <row r="10" spans="1:13" x14ac:dyDescent="0.2">
      <c r="B10" s="175" t="s">
        <v>129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</row>
    <row r="11" spans="1:13" x14ac:dyDescent="0.2">
      <c r="B11" s="175" t="s">
        <v>156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/>
    </row>
    <row r="12" spans="1:13" x14ac:dyDescent="0.2"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7"/>
    </row>
    <row r="13" spans="1:13" ht="29.25" customHeight="1" x14ac:dyDescent="0.2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7"/>
    </row>
    <row r="14" spans="1:13" x14ac:dyDescent="0.2">
      <c r="B14" s="175" t="s">
        <v>133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</row>
    <row r="15" spans="1:13" x14ac:dyDescent="0.2">
      <c r="B15" s="172" t="s">
        <v>157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4"/>
    </row>
    <row r="16" spans="1:13" x14ac:dyDescent="0.2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</row>
    <row r="17" spans="2:13" x14ac:dyDescent="0.2"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4"/>
    </row>
    <row r="18" spans="2:13" x14ac:dyDescent="0.2"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4"/>
    </row>
    <row r="19" spans="2:13" ht="6.75" customHeight="1" x14ac:dyDescent="0.2"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4"/>
    </row>
    <row r="20" spans="2:13" ht="12.75" customHeight="1" x14ac:dyDescent="0.2">
      <c r="B20" s="172" t="s">
        <v>134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4"/>
    </row>
    <row r="21" spans="2:13" ht="12.75" customHeight="1" x14ac:dyDescent="0.2"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4"/>
    </row>
    <row r="22" spans="2:13" ht="12.75" customHeight="1" x14ac:dyDescent="0.2">
      <c r="B22" s="172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2:13" ht="12.75" customHeight="1" x14ac:dyDescent="0.2">
      <c r="B23" s="172" t="s">
        <v>145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4"/>
    </row>
    <row r="24" spans="2:13" x14ac:dyDescent="0.2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4"/>
    </row>
    <row r="25" spans="2:13" x14ac:dyDescent="0.2"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4"/>
    </row>
    <row r="26" spans="2:13" x14ac:dyDescent="0.2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</row>
    <row r="27" spans="2:13" ht="12.75" customHeight="1" x14ac:dyDescent="0.2">
      <c r="B27" s="172" t="s">
        <v>143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</row>
    <row r="28" spans="2:13" x14ac:dyDescent="0.2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4"/>
    </row>
    <row r="29" spans="2:13" x14ac:dyDescent="0.2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4"/>
    </row>
    <row r="30" spans="2:13" ht="12.75" customHeight="1" x14ac:dyDescent="0.2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4"/>
    </row>
    <row r="31" spans="2:13" x14ac:dyDescent="0.2">
      <c r="B31" s="172" t="s">
        <v>136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4"/>
    </row>
    <row r="32" spans="2:13" x14ac:dyDescent="0.2"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4"/>
    </row>
    <row r="33" spans="2:13" x14ac:dyDescent="0.2"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4"/>
    </row>
    <row r="34" spans="2:13" x14ac:dyDescent="0.2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4"/>
    </row>
    <row r="35" spans="2:13" x14ac:dyDescent="0.2">
      <c r="B35" s="172" t="s">
        <v>137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4"/>
    </row>
    <row r="36" spans="2:13" x14ac:dyDescent="0.2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4"/>
    </row>
    <row r="37" spans="2:13" x14ac:dyDescent="0.2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4"/>
    </row>
    <row r="38" spans="2:13" ht="13.5" thickBot="1" x14ac:dyDescent="0.25"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</row>
    <row r="39" spans="2:13" ht="45" thickBot="1" x14ac:dyDescent="0.6">
      <c r="B39" s="70"/>
    </row>
    <row r="40" spans="2:13" ht="44.25" x14ac:dyDescent="0.55000000000000004">
      <c r="B40" s="71" t="s">
        <v>78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</row>
    <row r="41" spans="2:13" x14ac:dyDescent="0.2">
      <c r="B41" s="189" t="s">
        <v>148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</row>
    <row r="42" spans="2:13" x14ac:dyDescent="0.2">
      <c r="B42" s="189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1"/>
    </row>
    <row r="43" spans="2:13" x14ac:dyDescent="0.2">
      <c r="B43" s="189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1"/>
    </row>
    <row r="44" spans="2:13" x14ac:dyDescent="0.2">
      <c r="B44" s="189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1"/>
    </row>
    <row r="45" spans="2:13" x14ac:dyDescent="0.2">
      <c r="B45" s="189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1"/>
    </row>
    <row r="46" spans="2:13" x14ac:dyDescent="0.2">
      <c r="B46" s="181" t="s">
        <v>138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5"/>
    </row>
    <row r="47" spans="2:13" x14ac:dyDescent="0.2"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5"/>
    </row>
    <row r="48" spans="2:13" ht="12.75" customHeight="1" x14ac:dyDescent="0.2">
      <c r="B48" s="181" t="s">
        <v>139</v>
      </c>
      <c r="C48" s="182"/>
      <c r="D48" s="182"/>
      <c r="E48" s="141"/>
      <c r="F48" s="131"/>
      <c r="G48" s="139" t="s">
        <v>141</v>
      </c>
      <c r="H48" s="139"/>
      <c r="I48" s="131"/>
      <c r="J48" s="131"/>
      <c r="K48" s="131"/>
      <c r="L48" s="131"/>
      <c r="M48" s="132"/>
    </row>
    <row r="49" spans="2:13" ht="12.75" customHeight="1" x14ac:dyDescent="0.2">
      <c r="B49" s="183" t="s">
        <v>149</v>
      </c>
      <c r="C49" s="184"/>
      <c r="D49" s="184"/>
      <c r="E49" s="184"/>
      <c r="F49" s="133"/>
      <c r="G49" s="133" t="s">
        <v>142</v>
      </c>
      <c r="H49" s="133"/>
      <c r="I49" s="133"/>
      <c r="J49" s="133"/>
      <c r="K49" s="133"/>
      <c r="L49" s="133"/>
      <c r="M49" s="134"/>
    </row>
    <row r="50" spans="2:13" x14ac:dyDescent="0.2">
      <c r="B50" s="138" t="s">
        <v>150</v>
      </c>
      <c r="C50" s="137"/>
      <c r="D50" s="137"/>
      <c r="E50" s="142"/>
      <c r="F50" s="135"/>
      <c r="G50" s="140" t="s">
        <v>140</v>
      </c>
      <c r="H50" s="135"/>
      <c r="I50" s="135"/>
      <c r="J50" s="135"/>
      <c r="K50" s="135"/>
      <c r="L50" s="135"/>
      <c r="M50" s="136"/>
    </row>
    <row r="51" spans="2:13" x14ac:dyDescent="0.2"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80"/>
    </row>
    <row r="52" spans="2:13" ht="13.5" thickBot="1" x14ac:dyDescent="0.25">
      <c r="B52" s="130" t="s">
        <v>158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</row>
    <row r="54" spans="2:13" x14ac:dyDescent="0.2">
      <c r="B54" s="40" t="s">
        <v>85</v>
      </c>
      <c r="F54" s="40" t="s">
        <v>155</v>
      </c>
    </row>
    <row r="55" spans="2:13" x14ac:dyDescent="0.2">
      <c r="F55" s="40" t="str">
        <f>hiddenSheet!ekr_verifisert</f>
        <v>01.04.2019 - Hege Hoff Skavøy, 01.04.2019 - Jørn Vegard Sagen, 28.03.2019 - Søfteland, Eirik, 22.03.2019 - Torvestad, Astrid, 26.03.2019 - Trude Andersen</v>
      </c>
    </row>
    <row r="61" spans="2:13" x14ac:dyDescent="0.2">
      <c r="B61" s="40" t="s">
        <v>87</v>
      </c>
      <c r="C61" s="192">
        <v>43525</v>
      </c>
    </row>
  </sheetData>
  <mergeCells count="15">
    <mergeCell ref="B51:M51"/>
    <mergeCell ref="B48:D48"/>
    <mergeCell ref="B49:E49"/>
    <mergeCell ref="B46:M47"/>
    <mergeCell ref="B14:M14"/>
    <mergeCell ref="B23:M26"/>
    <mergeCell ref="B27:M30"/>
    <mergeCell ref="B31:M34"/>
    <mergeCell ref="B35:M38"/>
    <mergeCell ref="B41:M45"/>
    <mergeCell ref="B6:M9"/>
    <mergeCell ref="B10:M10"/>
    <mergeCell ref="B11:M13"/>
    <mergeCell ref="B15:M19"/>
    <mergeCell ref="B20:M22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"/>
  <sheetViews>
    <sheetView workbookViewId="0">
      <selection activeCell="A47" sqref="A47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21</vt:i4>
      </vt:variant>
    </vt:vector>
  </HeadingPairs>
  <TitlesOfParts>
    <vt:vector size="30" baseType="lpstr">
      <vt:lpstr>Forside</vt:lpstr>
      <vt:lpstr> Beskrivelse av forsøket</vt:lpstr>
      <vt:lpstr>hiddenSheet</vt:lpstr>
      <vt:lpstr>Gel ROM</vt:lpstr>
      <vt:lpstr>Fraskilt ROM</vt:lpstr>
      <vt:lpstr>Gel KJØL</vt:lpstr>
      <vt:lpstr>Fraskilt KJØL</vt:lpstr>
      <vt:lpstr>Konklusjon</vt:lpstr>
      <vt:lpstr>Ark2</vt:lpstr>
      <vt:lpstr>hiddenSheet!beskyttet</vt:lpstr>
      <vt:lpstr>hiddenSheet!docver</vt:lpstr>
      <vt:lpstr>hiddenSheet!ek_dbfields</vt:lpstr>
      <vt:lpstr>hiddenSheet!ek_doktittel</vt:lpstr>
      <vt:lpstr>hiddenSheet!ek_dokumentid</vt:lpstr>
      <vt:lpstr>hiddenSheet!ek_endrfields</vt:lpstr>
      <vt:lpstr>hiddenSheet!ek_format</vt:lpstr>
      <vt:lpstr>hiddenSheet!ek_type</vt:lpstr>
      <vt:lpstr>hiddenSheet!ek_utgave</vt:lpstr>
      <vt:lpstr>hiddenSheet!ekr_doktittel</vt:lpstr>
      <vt:lpstr>hiddenSheet!ekr_hørt</vt:lpstr>
      <vt:lpstr>hiddenSheet!ekr_utgitt</vt:lpstr>
      <vt:lpstr>hiddenSheet!ekr_verifisert</vt:lpstr>
      <vt:lpstr>hiddenSheet!khb</vt:lpstr>
      <vt:lpstr>hiddenSheet!lagre</vt:lpstr>
      <vt:lpstr>hiddenSheet!nyidxd</vt:lpstr>
      <vt:lpstr>hiddenSheet!nyidxr</vt:lpstr>
      <vt:lpstr>hiddenSheet!skitten</vt:lpstr>
      <vt:lpstr>hiddenSheet!tidek_eksref</vt:lpstr>
      <vt:lpstr>hiddenSheet!tidek_referanse</vt:lpstr>
      <vt:lpstr>hiddenSheet!tidek_vedlegg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dc:description>EKR_DokType_x0002_0_x0002_Rapport_x0003_EKR_Doktittel_x0002_0_x0002_Holdbarhetsforsøk GADA_x0003_EKR_DokumentID_x0002_0_x0002_R14546_x0003_EKR_RefNr_x0002_0_x0002_02.13.5.11.10.1.1-R14546_x0003_EKR_Gradering_x0002_0_x0002_Åpen_x0003_EKR_Signatur_x0002_0_x0002_&lt;skal ikke godkjennes&gt;_x0003_EKR_Verifisert_x0002_0_x0002_01.04.2019 - Hege Hoff Skavøy, 01.04.2019 - Jørn Vegard Sagen, 28.03.2019 - Søfteland, Eirik, 22.03.2019 - Torvestad, Astrid, 26.03.2019 - Trude Andersen_x0003_EKR_Hørt_x0002_0_x0002_11.02.2019 - Hjellestad, Iren Drange, 08.02.2019 - Søfteland, Eirik, 21.03.2019 - Søfteland, Eirik, 01.03.2019 - Torvestad, Astrid, 22.01.2019 - Torvestad, Astrid, 19.03.2019 - Trude Andersen, 25.01.2019 - Trude Andersen_x0003_EKR_AuditReview_x0002_2_x0002__x0003_EKR_AuditApprove_x0002_2_x0002__x0003_EKR_AuditFinal_x0002_2_x0002__x0003_EKR_Dokeier_x0002_0_x0002_&lt;Ingen&gt;_x0003_EKR_Status_x0002_0_x0002_Utfylt_x0003_EKR_Opprettet_x0002_0_x0002_20.08.2018_x0003_EKR_Endret_x0002_0_x0002_28.05.2019_x0003_EKR_Ibruk_x0002_0_x0002_28.05.2019_x0003_EKR_Rapport_x0002_3_x0002__x0003_EKR_Utgitt_x0002_0_x0002_20.08.2018_x0003_EKR_SkrevetAv_x0002_0_x0002_Marte Grøsvik_x0003_EKR_UText1_x0002_0_x0002_ _x0003_EKR_UText2_x0002_0_x0002_ _x0003_EKR_UText3_x0002_0_x0002_ _x0003_EKR_UText4_x0002_0_x0002_ _x0003_EKR_DokRefnr_x0002_4_x0002_000302130511100101_x0003_EKR_Gradnr_x0002_4_x0002_0_x0003_EKR_Strukt00_x0002_5_x0002__x0005__x0005_HVRHF_x0005_1_x0005_-1_x0004__x0005_02_x0005_Helse Bergen HF_x0005_1_x0005_0_x0004_._x0005_13_x0005_Laboratorieklinikken_x0005_1_x0005_0_x0004_._x0005_5_x0005_Hormonlaboratoriet_x0005_1_x0005_0_x0004_._x0005_11_x0005_Validering/verifisering og endringskontroll_x0005_0_x0005_0_x0004_._x0005_10_x0005_Holdbarhetsforsøk_x0005_0_x0005_0_x0004_._x0005_1_x0005_Prøvemateriale_x0005_0_x0005_0_x0004_._x0005_1_x0005_AS_x0005_0_x0005_0_x0004_ - _x0003_</dc:description>
  <cp:lastModifiedBy>Torvestad, Astrid</cp:lastModifiedBy>
  <dcterms:created xsi:type="dcterms:W3CDTF">2008-03-18T11:24:40Z</dcterms:created>
  <dcterms:modified xsi:type="dcterms:W3CDTF">2019-08-20T09:16:38Z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Helse Bergen</vt:lpwstr>
  </property>
  <property fmtid="{D5CDD505-2E9C-101B-9397-08002B2CF9AE}" pid="3" name="EK_GjelderFra">
    <vt:lpwstr>[]</vt:lpwstr>
  </property>
  <property fmtid="{D5CDD505-2E9C-101B-9397-08002B2CF9AE}" pid="4" name="EK_Opprettet">
    <vt:lpwstr>23.04.2018</vt:lpwstr>
  </property>
  <property fmtid="{D5CDD505-2E9C-101B-9397-08002B2CF9AE}" pid="5" name="EK_Utgitt">
    <vt:lpwstr>[]</vt:lpwstr>
  </property>
  <property fmtid="{D5CDD505-2E9C-101B-9397-08002B2CF9AE}" pid="6" name="EK_IBrukDato">
    <vt:lpwstr>[]</vt:lpwstr>
  </property>
  <property fmtid="{D5CDD505-2E9C-101B-9397-08002B2CF9AE}" pid="7" name="EK_DokumentID">
    <vt:lpwstr>D54447</vt:lpwstr>
  </property>
  <property fmtid="{D5CDD505-2E9C-101B-9397-08002B2CF9AE}" pid="8" name="EK_DokTittel">
    <vt:lpwstr>HL - Rapportmal Holdbarhetsforsøk</vt:lpwstr>
  </property>
  <property fmtid="{D5CDD505-2E9C-101B-9397-08002B2CF9AE}" pid="9" name="EK_DokType">
    <vt:lpwstr>[]</vt:lpwstr>
  </property>
  <property fmtid="{D5CDD505-2E9C-101B-9397-08002B2CF9AE}" pid="10" name="EK_Erstatter">
    <vt:lpwstr>[]</vt:lpwstr>
  </property>
  <property fmtid="{D5CDD505-2E9C-101B-9397-08002B2CF9AE}" pid="11" name="EK_ErstatterD">
    <vt:lpwstr>[]</vt:lpwstr>
  </property>
  <property fmtid="{D5CDD505-2E9C-101B-9397-08002B2CF9AE}" pid="12" name="EK_Signatur">
    <vt:lpwstr>[]</vt:lpwstr>
  </property>
  <property fmtid="{D5CDD505-2E9C-101B-9397-08002B2CF9AE}" pid="13" name="EK_Verifisert">
    <vt:lpwstr>[]</vt:lpwstr>
  </property>
  <property fmtid="{D5CDD505-2E9C-101B-9397-08002B2CF9AE}" pid="14" name="EK_Hørt">
    <vt:lpwstr>[]</vt:lpwstr>
  </property>
  <property fmtid="{D5CDD505-2E9C-101B-9397-08002B2CF9AE}" pid="15" name="EK_Gradering">
    <vt:lpwstr>Åpen</vt:lpwstr>
  </property>
  <property fmtid="{D5CDD505-2E9C-101B-9397-08002B2CF9AE}" pid="16" name="EK_RefNr">
    <vt:lpwstr>02.13.5.11.9.1-03</vt:lpwstr>
  </property>
  <property fmtid="{D5CDD505-2E9C-101B-9397-08002B2CF9AE}" pid="17" name="EK_Revisjon">
    <vt:lpwstr>-</vt:lpwstr>
  </property>
  <property fmtid="{D5CDD505-2E9C-101B-9397-08002B2CF9AE}" pid="18" name="EK_Ansvarlig">
    <vt:lpwstr>&lt;ingen&gt;</vt:lpwstr>
  </property>
  <property fmtid="{D5CDD505-2E9C-101B-9397-08002B2CF9AE}" pid="19" name="EK_SkrevetAv">
    <vt:lpwstr>[]</vt:lpwstr>
  </property>
  <property fmtid="{D5CDD505-2E9C-101B-9397-08002B2CF9AE}" pid="20" name="EK_UText1">
    <vt:lpwstr>[]</vt:lpwstr>
  </property>
  <property fmtid="{D5CDD505-2E9C-101B-9397-08002B2CF9AE}" pid="21" name="EK_UText2">
    <vt:lpwstr>[]</vt:lpwstr>
  </property>
  <property fmtid="{D5CDD505-2E9C-101B-9397-08002B2CF9AE}" pid="22" name="EK_UText3">
    <vt:lpwstr>[]</vt:lpwstr>
  </property>
  <property fmtid="{D5CDD505-2E9C-101B-9397-08002B2CF9AE}" pid="23" name="EK_UText4">
    <vt:lpwstr>[]</vt:lpwstr>
  </property>
  <property fmtid="{D5CDD505-2E9C-101B-9397-08002B2CF9AE}" pid="24" name="EK_Status">
    <vt:lpwstr>Nytt</vt:lpwstr>
  </property>
  <property fmtid="{D5CDD505-2E9C-101B-9397-08002B2CF9AE}" pid="25" name="EK_Stikkord">
    <vt:lpwstr>[]</vt:lpwstr>
  </property>
  <property fmtid="{D5CDD505-2E9C-101B-9397-08002B2CF9AE}" pid="26" name="EK_SuperStikkord">
    <vt:lpwstr>[]</vt:lpwstr>
  </property>
  <property fmtid="{D5CDD505-2E9C-101B-9397-08002B2CF9AE}" pid="27" name="EK_Rapport">
    <vt:lpwstr>[]</vt:lpwstr>
  </property>
  <property fmtid="{D5CDD505-2E9C-101B-9397-08002B2CF9AE}" pid="28" name="EK_EKPrintMerke">
    <vt:lpwstr>Uoffisiell utskrift er kun gyldig på utskriftsdato</vt:lpwstr>
  </property>
  <property fmtid="{D5CDD505-2E9C-101B-9397-08002B2CF9AE}" pid="29" name="EK_Watermark">
    <vt:lpwstr>[]</vt:lpwstr>
  </property>
  <property fmtid="{D5CDD505-2E9C-101B-9397-08002B2CF9AE}" pid="30" name="EK_Utgave">
    <vt:lpwstr>1.00</vt:lpwstr>
  </property>
  <property fmtid="{D5CDD505-2E9C-101B-9397-08002B2CF9AE}" pid="31" name="EK_DL">
    <vt:lpwstr>3</vt:lpwstr>
  </property>
  <property fmtid="{D5CDD505-2E9C-101B-9397-08002B2CF9AE}" pid="32" name="EK_GjelderTil">
    <vt:lpwstr>[]</vt:lpwstr>
  </property>
  <property fmtid="{D5CDD505-2E9C-101B-9397-08002B2CF9AE}" pid="33" name="EK_HRefNr">
    <vt:lpwstr>[]</vt:lpwstr>
  </property>
  <property fmtid="{D5CDD505-2E9C-101B-9397-08002B2CF9AE}" pid="34" name="EK_HbNavn">
    <vt:lpwstr>[]</vt:lpwstr>
  </property>
  <property fmtid="{D5CDD505-2E9C-101B-9397-08002B2CF9AE}" pid="35" name="EKR_DokType">
    <vt:lpwstr>Rapport</vt:lpwstr>
  </property>
  <property fmtid="{D5CDD505-2E9C-101B-9397-08002B2CF9AE}" pid="36" name="EKR_Doktittel">
    <vt:lpwstr>Holdbarhetsforsøk GADA</vt:lpwstr>
  </property>
  <property fmtid="{D5CDD505-2E9C-101B-9397-08002B2CF9AE}" pid="37" name="EKR_DokumentID">
    <vt:lpwstr>R14546</vt:lpwstr>
  </property>
  <property fmtid="{D5CDD505-2E9C-101B-9397-08002B2CF9AE}" pid="38" name="EKR_RefNr">
    <vt:lpwstr>02.13.5.11.10.1.1-R14546</vt:lpwstr>
  </property>
  <property fmtid="{D5CDD505-2E9C-101B-9397-08002B2CF9AE}" pid="39" name="EKR_Gradering">
    <vt:lpwstr>Åpen</vt:lpwstr>
  </property>
  <property fmtid="{D5CDD505-2E9C-101B-9397-08002B2CF9AE}" pid="40" name="EKR_Signatur">
    <vt:lpwstr>&lt;skal ikke godkjennes&gt;</vt:lpwstr>
  </property>
  <property fmtid="{D5CDD505-2E9C-101B-9397-08002B2CF9AE}" pid="41" name="EKR_Verifisert">
    <vt:lpwstr>01.04.2019 - Hege Hoff Skavøy, 01.04.2019 - Jørn Vegard Sagen, 28.03.2019 - Søfteland, Eirik, 22.03.2019 - Torvestad, Astrid, 26.03.2019 - Trude Andersen</vt:lpwstr>
  </property>
  <property fmtid="{D5CDD505-2E9C-101B-9397-08002B2CF9AE}" pid="42" name="EKR_Hørt">
    <vt:lpwstr>11.02.2019 - Hjellestad, Iren Drange, 08.02.2019 - Søfteland, Eirik, 21.03.2019 - Søfteland, Eirik, 01.03.2019 - Torvestad, Astrid, 22.01.2019 - Torvestad, Astrid, 19.03.2019 - Trude Andersen, 25.01.2019 - Trude Andersen</vt:lpwstr>
  </property>
  <property fmtid="{D5CDD505-2E9C-101B-9397-08002B2CF9AE}" pid="43" name="EKR_Dokeier">
    <vt:lpwstr>&lt;Ingen&gt;</vt:lpwstr>
  </property>
  <property fmtid="{D5CDD505-2E9C-101B-9397-08002B2CF9AE}" pid="44" name="EKR_Status">
    <vt:lpwstr>Utfylt</vt:lpwstr>
  </property>
  <property fmtid="{D5CDD505-2E9C-101B-9397-08002B2CF9AE}" pid="45" name="EKR_Opprettet">
    <vt:lpwstr>20.08.2018</vt:lpwstr>
  </property>
  <property fmtid="{D5CDD505-2E9C-101B-9397-08002B2CF9AE}" pid="46" name="EKR_Endret">
    <vt:lpwstr>28.05.2019</vt:lpwstr>
  </property>
  <property fmtid="{D5CDD505-2E9C-101B-9397-08002B2CF9AE}" pid="47" name="EKR_Ibruk">
    <vt:lpwstr>28.05.2019</vt:lpwstr>
  </property>
  <property fmtid="{D5CDD505-2E9C-101B-9397-08002B2CF9AE}" pid="48" name="EKR_Rapport">
    <vt:lpwstr>[]</vt:lpwstr>
  </property>
  <property fmtid="{D5CDD505-2E9C-101B-9397-08002B2CF9AE}" pid="49" name="EKR_Utgitt">
    <vt:lpwstr>20.08.2018</vt:lpwstr>
  </property>
  <property fmtid="{D5CDD505-2E9C-101B-9397-08002B2CF9AE}" pid="50" name="EKR_SkrevetAv">
    <vt:lpwstr>Marte Grøsvik</vt:lpwstr>
  </property>
  <property fmtid="{D5CDD505-2E9C-101B-9397-08002B2CF9AE}" pid="51" name="EKR_UText1">
    <vt:lpwstr> </vt:lpwstr>
  </property>
  <property fmtid="{D5CDD505-2E9C-101B-9397-08002B2CF9AE}" pid="52" name="EKR_UText2">
    <vt:lpwstr> </vt:lpwstr>
  </property>
  <property fmtid="{D5CDD505-2E9C-101B-9397-08002B2CF9AE}" pid="53" name="EKR_UText3">
    <vt:lpwstr> </vt:lpwstr>
  </property>
  <property fmtid="{D5CDD505-2E9C-101B-9397-08002B2CF9AE}" pid="54" name="EKR_UText4">
    <vt:lpwstr> </vt:lpwstr>
  </property>
</Properties>
</file>